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P:\Cindy\Eric\FY25 Schedule\"/>
    </mc:Choice>
  </mc:AlternateContent>
  <xr:revisionPtr revIDLastSave="0" documentId="13_ncr:1_{A743B5E6-724E-475C-8E72-2834DF70A334}" xr6:coauthVersionLast="47" xr6:coauthVersionMax="47" xr10:uidLastSave="{00000000-0000-0000-0000-000000000000}"/>
  <bookViews>
    <workbookView xWindow="55095" yWindow="0" windowWidth="27180" windowHeight="15495" xr2:uid="{00000000-000D-0000-FFFF-FFFF00000000}"/>
  </bookViews>
  <sheets>
    <sheet name="2021A Revised " sheetId="19" r:id="rId1"/>
    <sheet name="20-Yrs Acad Revised" sheetId="12" r:id="rId2"/>
    <sheet name="10-Year FR Revised" sheetId="13" r:id="rId3"/>
    <sheet name="Adjustment-42nd Amendment Aux" sheetId="18" r:id="rId4"/>
    <sheet name="Percentage-082621" sheetId="8" r:id="rId5"/>
    <sheet name="Percentage 082621 Revised" sheetId="14" r:id="rId6"/>
    <sheet name="Percentage - 021622" sheetId="10" r:id="rId7"/>
    <sheet name="Percentage 021622 Revised" sheetId="15" r:id="rId8"/>
    <sheet name="Percentage-082222" sheetId="11" r:id="rId9"/>
    <sheet name="Percentage 082222 Revised" sheetId="16" r:id="rId10"/>
    <sheet name="Percentage 021323" sheetId="20" r:id="rId11"/>
  </sheets>
  <externalReferences>
    <externalReference r:id="rId12"/>
  </externalReferences>
  <definedNames>
    <definedName name="_xlnm.Print_Titles" localSheetId="0">'2021A Revised '!$A:$A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C22" i="13" l="1"/>
  <c r="CA22" i="13"/>
  <c r="BZ22" i="13"/>
  <c r="CC21" i="13"/>
  <c r="CA21" i="13"/>
  <c r="BZ21" i="13"/>
  <c r="CB21" i="13" s="1"/>
  <c r="CC20" i="13"/>
  <c r="CA20" i="13"/>
  <c r="BZ20" i="13"/>
  <c r="CC19" i="13"/>
  <c r="CA19" i="13"/>
  <c r="BZ19" i="13"/>
  <c r="CB19" i="13" s="1"/>
  <c r="CC18" i="13"/>
  <c r="CA18" i="13"/>
  <c r="BZ18" i="13"/>
  <c r="CC17" i="13"/>
  <c r="CA17" i="13"/>
  <c r="BZ17" i="13"/>
  <c r="CB17" i="13" s="1"/>
  <c r="CC16" i="13"/>
  <c r="CA16" i="13"/>
  <c r="CB16" i="13" s="1"/>
  <c r="BZ16" i="13"/>
  <c r="CC15" i="13"/>
  <c r="CA15" i="13"/>
  <c r="BZ15" i="13"/>
  <c r="CB15" i="13" s="1"/>
  <c r="CC14" i="13"/>
  <c r="CA14" i="13"/>
  <c r="BZ14" i="13"/>
  <c r="CC13" i="13"/>
  <c r="CA13" i="13"/>
  <c r="BZ13" i="13"/>
  <c r="CB13" i="13" s="1"/>
  <c r="CC12" i="13"/>
  <c r="CA12" i="13"/>
  <c r="CB12" i="13" s="1"/>
  <c r="BZ12" i="13"/>
  <c r="CC11" i="13"/>
  <c r="CA11" i="13"/>
  <c r="BZ11" i="13"/>
  <c r="CB11" i="13" s="1"/>
  <c r="CC10" i="13"/>
  <c r="CA10" i="13"/>
  <c r="BZ10" i="13"/>
  <c r="CC9" i="13"/>
  <c r="CA9" i="13"/>
  <c r="BZ9" i="13"/>
  <c r="CB9" i="13" s="1"/>
  <c r="BX22" i="13"/>
  <c r="BV22" i="13"/>
  <c r="BW22" i="13" s="1"/>
  <c r="BU22" i="13"/>
  <c r="BX21" i="13"/>
  <c r="BV21" i="13"/>
  <c r="BU21" i="13"/>
  <c r="BW21" i="13" s="1"/>
  <c r="BX20" i="13"/>
  <c r="BV20" i="13"/>
  <c r="BU20" i="13"/>
  <c r="BX19" i="13"/>
  <c r="BV19" i="13"/>
  <c r="BU19" i="13"/>
  <c r="BW19" i="13" s="1"/>
  <c r="BX18" i="13"/>
  <c r="BV18" i="13"/>
  <c r="BW18" i="13" s="1"/>
  <c r="BU18" i="13"/>
  <c r="BX17" i="13"/>
  <c r="BV17" i="13"/>
  <c r="BU17" i="13"/>
  <c r="BW17" i="13" s="1"/>
  <c r="BX16" i="13"/>
  <c r="BV16" i="13"/>
  <c r="BU16" i="13"/>
  <c r="BX15" i="13"/>
  <c r="BV15" i="13"/>
  <c r="BU15" i="13"/>
  <c r="BW15" i="13" s="1"/>
  <c r="BX14" i="13"/>
  <c r="BV14" i="13"/>
  <c r="BW14" i="13" s="1"/>
  <c r="BU14" i="13"/>
  <c r="BX13" i="13"/>
  <c r="BV13" i="13"/>
  <c r="BU13" i="13"/>
  <c r="BW13" i="13" s="1"/>
  <c r="BX12" i="13"/>
  <c r="BV12" i="13"/>
  <c r="BU12" i="13"/>
  <c r="BX11" i="13"/>
  <c r="BV11" i="13"/>
  <c r="BU11" i="13"/>
  <c r="BW11" i="13" s="1"/>
  <c r="BX10" i="13"/>
  <c r="BV10" i="13"/>
  <c r="BW10" i="13" s="1"/>
  <c r="BU10" i="13"/>
  <c r="BX9" i="13"/>
  <c r="BV9" i="13"/>
  <c r="BU9" i="13"/>
  <c r="BW9" i="13" s="1"/>
  <c r="BS22" i="13"/>
  <c r="BQ22" i="13"/>
  <c r="BP22" i="13"/>
  <c r="BS21" i="13"/>
  <c r="BQ21" i="13"/>
  <c r="BR21" i="13" s="1"/>
  <c r="BP21" i="13"/>
  <c r="BS20" i="13"/>
  <c r="BQ20" i="13"/>
  <c r="BP20" i="13"/>
  <c r="BR20" i="13" s="1"/>
  <c r="BS19" i="13"/>
  <c r="BQ19" i="13"/>
  <c r="BP19" i="13"/>
  <c r="BS18" i="13"/>
  <c r="BQ18" i="13"/>
  <c r="BP18" i="13"/>
  <c r="BR18" i="13" s="1"/>
  <c r="BS17" i="13"/>
  <c r="BQ17" i="13"/>
  <c r="BP17" i="13"/>
  <c r="BS16" i="13"/>
  <c r="BQ16" i="13"/>
  <c r="BP16" i="13"/>
  <c r="BR16" i="13" s="1"/>
  <c r="BS15" i="13"/>
  <c r="BQ15" i="13"/>
  <c r="BP15" i="13"/>
  <c r="BS14" i="13"/>
  <c r="BQ14" i="13"/>
  <c r="BP14" i="13"/>
  <c r="BR14" i="13" s="1"/>
  <c r="BS13" i="13"/>
  <c r="BQ13" i="13"/>
  <c r="BP13" i="13"/>
  <c r="BS12" i="13"/>
  <c r="BQ12" i="13"/>
  <c r="BP12" i="13"/>
  <c r="BS11" i="13"/>
  <c r="BQ11" i="13"/>
  <c r="BP11" i="13"/>
  <c r="BR11" i="13" s="1"/>
  <c r="BS10" i="13"/>
  <c r="BQ10" i="13"/>
  <c r="BP10" i="13"/>
  <c r="BS9" i="13"/>
  <c r="BQ9" i="13"/>
  <c r="BP9" i="13"/>
  <c r="BR9" i="13" s="1"/>
  <c r="BN22" i="13"/>
  <c r="BL22" i="13"/>
  <c r="BM22" i="13" s="1"/>
  <c r="BK22" i="13"/>
  <c r="BN21" i="13"/>
  <c r="BL21" i="13"/>
  <c r="BK21" i="13"/>
  <c r="BM21" i="13" s="1"/>
  <c r="BN20" i="13"/>
  <c r="BL20" i="13"/>
  <c r="BK20" i="13"/>
  <c r="BN19" i="13"/>
  <c r="BL19" i="13"/>
  <c r="BK19" i="13"/>
  <c r="BM19" i="13" s="1"/>
  <c r="BN18" i="13"/>
  <c r="BL18" i="13"/>
  <c r="BM18" i="13" s="1"/>
  <c r="BK18" i="13"/>
  <c r="BN17" i="13"/>
  <c r="BL17" i="13"/>
  <c r="BK17" i="13"/>
  <c r="BM17" i="13" s="1"/>
  <c r="BN16" i="13"/>
  <c r="BL16" i="13"/>
  <c r="BK16" i="13"/>
  <c r="BN15" i="13"/>
  <c r="BL15" i="13"/>
  <c r="BK15" i="13"/>
  <c r="BM15" i="13" s="1"/>
  <c r="BN14" i="13"/>
  <c r="BL14" i="13"/>
  <c r="BM14" i="13" s="1"/>
  <c r="BK14" i="13"/>
  <c r="BN13" i="13"/>
  <c r="BL13" i="13"/>
  <c r="BK13" i="13"/>
  <c r="BM13" i="13" s="1"/>
  <c r="BN12" i="13"/>
  <c r="BL12" i="13"/>
  <c r="BK12" i="13"/>
  <c r="BN11" i="13"/>
  <c r="BL11" i="13"/>
  <c r="BK11" i="13"/>
  <c r="BM11" i="13" s="1"/>
  <c r="BN10" i="13"/>
  <c r="BL10" i="13"/>
  <c r="BM10" i="13" s="1"/>
  <c r="BK10" i="13"/>
  <c r="BN9" i="13"/>
  <c r="BL9" i="13"/>
  <c r="BK9" i="13"/>
  <c r="BM9" i="13" s="1"/>
  <c r="BI22" i="13"/>
  <c r="BG22" i="13"/>
  <c r="BF22" i="13"/>
  <c r="BI21" i="13"/>
  <c r="BG21" i="13"/>
  <c r="BF21" i="13"/>
  <c r="BI20" i="13"/>
  <c r="BG20" i="13"/>
  <c r="BF20" i="13"/>
  <c r="BI19" i="13"/>
  <c r="BG19" i="13"/>
  <c r="BF19" i="13"/>
  <c r="BI18" i="13"/>
  <c r="BG18" i="13"/>
  <c r="BF18" i="13"/>
  <c r="BI17" i="13"/>
  <c r="BG17" i="13"/>
  <c r="BF17" i="13"/>
  <c r="BI16" i="13"/>
  <c r="BG16" i="13"/>
  <c r="BF16" i="13"/>
  <c r="BI15" i="13"/>
  <c r="BG15" i="13"/>
  <c r="BF15" i="13"/>
  <c r="BI14" i="13"/>
  <c r="BG14" i="13"/>
  <c r="BF14" i="13"/>
  <c r="BI13" i="13"/>
  <c r="BG13" i="13"/>
  <c r="BF13" i="13"/>
  <c r="BI12" i="13"/>
  <c r="BG12" i="13"/>
  <c r="BF12" i="13"/>
  <c r="BI11" i="13"/>
  <c r="BG11" i="13"/>
  <c r="BF11" i="13"/>
  <c r="BI10" i="13"/>
  <c r="BG10" i="13"/>
  <c r="BF10" i="13"/>
  <c r="BI9" i="13"/>
  <c r="BG9" i="13"/>
  <c r="BF9" i="13"/>
  <c r="BD22" i="13"/>
  <c r="BB22" i="13"/>
  <c r="BC22" i="13" s="1"/>
  <c r="BA22" i="13"/>
  <c r="BD21" i="13"/>
  <c r="BB21" i="13"/>
  <c r="BA21" i="13"/>
  <c r="BC21" i="13" s="1"/>
  <c r="BD20" i="13"/>
  <c r="BB20" i="13"/>
  <c r="BA20" i="13"/>
  <c r="BD19" i="13"/>
  <c r="BB19" i="13"/>
  <c r="BA19" i="13"/>
  <c r="BC19" i="13" s="1"/>
  <c r="BD18" i="13"/>
  <c r="BB18" i="13"/>
  <c r="BC18" i="13" s="1"/>
  <c r="BA18" i="13"/>
  <c r="BD17" i="13"/>
  <c r="BB17" i="13"/>
  <c r="BA17" i="13"/>
  <c r="BC17" i="13" s="1"/>
  <c r="BD16" i="13"/>
  <c r="BB16" i="13"/>
  <c r="BA16" i="13"/>
  <c r="BD15" i="13"/>
  <c r="BB15" i="13"/>
  <c r="BA15" i="13"/>
  <c r="BC15" i="13" s="1"/>
  <c r="BD14" i="13"/>
  <c r="BB14" i="13"/>
  <c r="BC14" i="13" s="1"/>
  <c r="BA14" i="13"/>
  <c r="BD13" i="13"/>
  <c r="BB13" i="13"/>
  <c r="BA13" i="13"/>
  <c r="BC13" i="13" s="1"/>
  <c r="BD12" i="13"/>
  <c r="BB12" i="13"/>
  <c r="BA12" i="13"/>
  <c r="BC12" i="13" s="1"/>
  <c r="BD11" i="13"/>
  <c r="BB11" i="13"/>
  <c r="BA11" i="13"/>
  <c r="BD10" i="13"/>
  <c r="BB10" i="13"/>
  <c r="BC10" i="13" s="1"/>
  <c r="BA10" i="13"/>
  <c r="BD9" i="13"/>
  <c r="BB9" i="13"/>
  <c r="BA9" i="13"/>
  <c r="BC9" i="13" s="1"/>
  <c r="AY22" i="13"/>
  <c r="AW22" i="13"/>
  <c r="AV22" i="13"/>
  <c r="AY21" i="13"/>
  <c r="AW21" i="13"/>
  <c r="AV21" i="13"/>
  <c r="AY20" i="13"/>
  <c r="AW20" i="13"/>
  <c r="AV20" i="13"/>
  <c r="AY19" i="13"/>
  <c r="AW19" i="13"/>
  <c r="AV19" i="13"/>
  <c r="AY18" i="13"/>
  <c r="AW18" i="13"/>
  <c r="AV18" i="13"/>
  <c r="AY17" i="13"/>
  <c r="AW17" i="13"/>
  <c r="AV17" i="13"/>
  <c r="AY16" i="13"/>
  <c r="AW16" i="13"/>
  <c r="AV16" i="13"/>
  <c r="AY15" i="13"/>
  <c r="AW15" i="13"/>
  <c r="AV15" i="13"/>
  <c r="AY14" i="13"/>
  <c r="AW14" i="13"/>
  <c r="AV14" i="13"/>
  <c r="AY13" i="13"/>
  <c r="AW13" i="13"/>
  <c r="AV13" i="13"/>
  <c r="AY12" i="13"/>
  <c r="AW12" i="13"/>
  <c r="AV12" i="13"/>
  <c r="AY11" i="13"/>
  <c r="AW11" i="13"/>
  <c r="AV11" i="13"/>
  <c r="AY10" i="13"/>
  <c r="AW10" i="13"/>
  <c r="AV10" i="13"/>
  <c r="AY9" i="13"/>
  <c r="AW9" i="13"/>
  <c r="AV9" i="13"/>
  <c r="AT22" i="13"/>
  <c r="AR22" i="13"/>
  <c r="AQ22" i="13"/>
  <c r="AT21" i="13"/>
  <c r="AR21" i="13"/>
  <c r="AQ21" i="13"/>
  <c r="AT20" i="13"/>
  <c r="AR20" i="13"/>
  <c r="AQ20" i="13"/>
  <c r="AT19" i="13"/>
  <c r="AR19" i="13"/>
  <c r="AQ19" i="13"/>
  <c r="AT18" i="13"/>
  <c r="AR18" i="13"/>
  <c r="AQ18" i="13"/>
  <c r="AT17" i="13"/>
  <c r="AR17" i="13"/>
  <c r="AQ17" i="13"/>
  <c r="AT16" i="13"/>
  <c r="AR16" i="13"/>
  <c r="AQ16" i="13"/>
  <c r="AT15" i="13"/>
  <c r="AR15" i="13"/>
  <c r="AQ15" i="13"/>
  <c r="AT14" i="13"/>
  <c r="AR14" i="13"/>
  <c r="AS14" i="13" s="1"/>
  <c r="AQ14" i="13"/>
  <c r="AT13" i="13"/>
  <c r="AR13" i="13"/>
  <c r="AQ13" i="13"/>
  <c r="AS13" i="13" s="1"/>
  <c r="AT12" i="13"/>
  <c r="AR12" i="13"/>
  <c r="AS12" i="13" s="1"/>
  <c r="AQ12" i="13"/>
  <c r="AT11" i="13"/>
  <c r="AR11" i="13"/>
  <c r="AQ11" i="13"/>
  <c r="AT10" i="13"/>
  <c r="AR10" i="13"/>
  <c r="AQ10" i="13"/>
  <c r="AS10" i="13" s="1"/>
  <c r="AT9" i="13"/>
  <c r="AR9" i="13"/>
  <c r="AQ9" i="13"/>
  <c r="AO22" i="13"/>
  <c r="AM22" i="13"/>
  <c r="AL22" i="13"/>
  <c r="AO21" i="13"/>
  <c r="AN21" i="13"/>
  <c r="AM21" i="13"/>
  <c r="AL21" i="13"/>
  <c r="AO20" i="13"/>
  <c r="AM20" i="13"/>
  <c r="AL20" i="13"/>
  <c r="AO19" i="13"/>
  <c r="AM19" i="13"/>
  <c r="AL19" i="13"/>
  <c r="AO18" i="13"/>
  <c r="AM18" i="13"/>
  <c r="AL18" i="13"/>
  <c r="AO17" i="13"/>
  <c r="AM17" i="13"/>
  <c r="AL17" i="13"/>
  <c r="AO16" i="13"/>
  <c r="AM16" i="13"/>
  <c r="AL16" i="13"/>
  <c r="AN16" i="13" s="1"/>
  <c r="AO15" i="13"/>
  <c r="AM15" i="13"/>
  <c r="AL15" i="13"/>
  <c r="AO14" i="13"/>
  <c r="AM14" i="13"/>
  <c r="AL14" i="13"/>
  <c r="AO13" i="13"/>
  <c r="AM13" i="13"/>
  <c r="AL13" i="13"/>
  <c r="AO12" i="13"/>
  <c r="AM12" i="13"/>
  <c r="AL12" i="13"/>
  <c r="AN12" i="13" s="1"/>
  <c r="AO11" i="13"/>
  <c r="AM11" i="13"/>
  <c r="AL11" i="13"/>
  <c r="AO10" i="13"/>
  <c r="AM10" i="13"/>
  <c r="AL10" i="13"/>
  <c r="AO9" i="13"/>
  <c r="AM9" i="13"/>
  <c r="AL9" i="13"/>
  <c r="AJ22" i="13"/>
  <c r="AH22" i="13"/>
  <c r="AG22" i="13"/>
  <c r="AI22" i="13" s="1"/>
  <c r="AJ21" i="13"/>
  <c r="AH21" i="13"/>
  <c r="AG21" i="13"/>
  <c r="AJ20" i="13"/>
  <c r="AH20" i="13"/>
  <c r="AG20" i="13"/>
  <c r="AJ19" i="13"/>
  <c r="AH19" i="13"/>
  <c r="AG19" i="13"/>
  <c r="AJ18" i="13"/>
  <c r="AH18" i="13"/>
  <c r="AG18" i="13"/>
  <c r="AI18" i="13" s="1"/>
  <c r="AJ17" i="13"/>
  <c r="AH17" i="13"/>
  <c r="AG17" i="13"/>
  <c r="AJ16" i="13"/>
  <c r="AH16" i="13"/>
  <c r="AG16" i="13"/>
  <c r="AJ15" i="13"/>
  <c r="AH15" i="13"/>
  <c r="AG15" i="13"/>
  <c r="AJ14" i="13"/>
  <c r="AH14" i="13"/>
  <c r="AG14" i="13"/>
  <c r="AI14" i="13" s="1"/>
  <c r="AJ13" i="13"/>
  <c r="AH13" i="13"/>
  <c r="AG13" i="13"/>
  <c r="AJ12" i="13"/>
  <c r="AH12" i="13"/>
  <c r="AG12" i="13"/>
  <c r="AJ11" i="13"/>
  <c r="AH11" i="13"/>
  <c r="AG11" i="13"/>
  <c r="AJ10" i="13"/>
  <c r="AH10" i="13"/>
  <c r="AG10" i="13"/>
  <c r="AI10" i="13" s="1"/>
  <c r="AJ9" i="13"/>
  <c r="AH9" i="13"/>
  <c r="AG9" i="13"/>
  <c r="AE22" i="13"/>
  <c r="AC22" i="13"/>
  <c r="AB22" i="13"/>
  <c r="AE21" i="13"/>
  <c r="AC21" i="13"/>
  <c r="AB21" i="13"/>
  <c r="AE20" i="13"/>
  <c r="AC20" i="13"/>
  <c r="AB20" i="13"/>
  <c r="AD20" i="13" s="1"/>
  <c r="AE19" i="13"/>
  <c r="AC19" i="13"/>
  <c r="AB19" i="13"/>
  <c r="AE18" i="13"/>
  <c r="AC18" i="13"/>
  <c r="AB18" i="13"/>
  <c r="AD18" i="13" s="1"/>
  <c r="AE17" i="13"/>
  <c r="AC17" i="13"/>
  <c r="AB17" i="13"/>
  <c r="AE16" i="13"/>
  <c r="AC16" i="13"/>
  <c r="AB16" i="13"/>
  <c r="AE15" i="13"/>
  <c r="AC15" i="13"/>
  <c r="AB15" i="13"/>
  <c r="AD15" i="13" s="1"/>
  <c r="AE14" i="13"/>
  <c r="AC14" i="13"/>
  <c r="AB14" i="13"/>
  <c r="AD14" i="13" s="1"/>
  <c r="AE13" i="13"/>
  <c r="AC13" i="13"/>
  <c r="AB13" i="13"/>
  <c r="AE12" i="13"/>
  <c r="AC12" i="13"/>
  <c r="AB12" i="13"/>
  <c r="AE11" i="13"/>
  <c r="AC11" i="13"/>
  <c r="AB11" i="13"/>
  <c r="AD11" i="13" s="1"/>
  <c r="AE10" i="13"/>
  <c r="AC10" i="13"/>
  <c r="AD10" i="13" s="1"/>
  <c r="AB10" i="13"/>
  <c r="AE9" i="13"/>
  <c r="AC9" i="13"/>
  <c r="AB9" i="13"/>
  <c r="Z22" i="13"/>
  <c r="X22" i="13"/>
  <c r="W22" i="13"/>
  <c r="Z21" i="13"/>
  <c r="X21" i="13"/>
  <c r="Y21" i="13" s="1"/>
  <c r="W21" i="13"/>
  <c r="Z20" i="13"/>
  <c r="X20" i="13"/>
  <c r="W20" i="13"/>
  <c r="Z19" i="13"/>
  <c r="X19" i="13"/>
  <c r="W19" i="13"/>
  <c r="Y19" i="13" s="1"/>
  <c r="Z18" i="13"/>
  <c r="X18" i="13"/>
  <c r="W18" i="13"/>
  <c r="Z17" i="13"/>
  <c r="X17" i="13"/>
  <c r="W17" i="13"/>
  <c r="Z16" i="13"/>
  <c r="X16" i="13"/>
  <c r="W16" i="13"/>
  <c r="Y16" i="13" s="1"/>
  <c r="Z15" i="13"/>
  <c r="X15" i="13"/>
  <c r="W15" i="13"/>
  <c r="Y15" i="13" s="1"/>
  <c r="Z14" i="13"/>
  <c r="X14" i="13"/>
  <c r="W14" i="13"/>
  <c r="Z13" i="13"/>
  <c r="X13" i="13"/>
  <c r="W13" i="13"/>
  <c r="Y13" i="13" s="1"/>
  <c r="Z12" i="13"/>
  <c r="X12" i="13"/>
  <c r="W12" i="13"/>
  <c r="Y12" i="13" s="1"/>
  <c r="Z11" i="13"/>
  <c r="X11" i="13"/>
  <c r="W11" i="13"/>
  <c r="Y11" i="13" s="1"/>
  <c r="Z10" i="13"/>
  <c r="X10" i="13"/>
  <c r="W10" i="13"/>
  <c r="Z9" i="13"/>
  <c r="X9" i="13"/>
  <c r="W9" i="13"/>
  <c r="U22" i="13"/>
  <c r="S22" i="13"/>
  <c r="R22" i="13"/>
  <c r="U21" i="13"/>
  <c r="S21" i="13"/>
  <c r="R21" i="13"/>
  <c r="T21" i="13" s="1"/>
  <c r="U20" i="13"/>
  <c r="S20" i="13"/>
  <c r="R20" i="13"/>
  <c r="U19" i="13"/>
  <c r="S19" i="13"/>
  <c r="R19" i="13"/>
  <c r="T19" i="13" s="1"/>
  <c r="U18" i="13"/>
  <c r="S18" i="13"/>
  <c r="R18" i="13"/>
  <c r="U17" i="13"/>
  <c r="S17" i="13"/>
  <c r="R17" i="13"/>
  <c r="T17" i="13" s="1"/>
  <c r="U16" i="13"/>
  <c r="S16" i="13"/>
  <c r="T16" i="13" s="1"/>
  <c r="R16" i="13"/>
  <c r="U15" i="13"/>
  <c r="S15" i="13"/>
  <c r="R15" i="13"/>
  <c r="T15" i="13" s="1"/>
  <c r="U14" i="13"/>
  <c r="S14" i="13"/>
  <c r="R14" i="13"/>
  <c r="U13" i="13"/>
  <c r="S13" i="13"/>
  <c r="R13" i="13"/>
  <c r="T13" i="13" s="1"/>
  <c r="U12" i="13"/>
  <c r="S12" i="13"/>
  <c r="T12" i="13" s="1"/>
  <c r="R12" i="13"/>
  <c r="U11" i="13"/>
  <c r="S11" i="13"/>
  <c r="R11" i="13"/>
  <c r="T11" i="13" s="1"/>
  <c r="U10" i="13"/>
  <c r="S10" i="13"/>
  <c r="R10" i="13"/>
  <c r="U9" i="13"/>
  <c r="S9" i="13"/>
  <c r="R9" i="13"/>
  <c r="T9" i="13" s="1"/>
  <c r="P22" i="13"/>
  <c r="N22" i="13"/>
  <c r="O22" i="13" s="1"/>
  <c r="M22" i="13"/>
  <c r="P21" i="13"/>
  <c r="N21" i="13"/>
  <c r="M21" i="13"/>
  <c r="O21" i="13" s="1"/>
  <c r="P20" i="13"/>
  <c r="N20" i="13"/>
  <c r="M20" i="13"/>
  <c r="P19" i="13"/>
  <c r="N19" i="13"/>
  <c r="M19" i="13"/>
  <c r="O19" i="13" s="1"/>
  <c r="P18" i="13"/>
  <c r="N18" i="13"/>
  <c r="O18" i="13" s="1"/>
  <c r="M18" i="13"/>
  <c r="P17" i="13"/>
  <c r="N17" i="13"/>
  <c r="M17" i="13"/>
  <c r="O17" i="13" s="1"/>
  <c r="P16" i="13"/>
  <c r="N16" i="13"/>
  <c r="M16" i="13"/>
  <c r="P15" i="13"/>
  <c r="N15" i="13"/>
  <c r="M15" i="13"/>
  <c r="O15" i="13" s="1"/>
  <c r="P14" i="13"/>
  <c r="N14" i="13"/>
  <c r="O14" i="13" s="1"/>
  <c r="M14" i="13"/>
  <c r="P13" i="13"/>
  <c r="N13" i="13"/>
  <c r="M13" i="13"/>
  <c r="O13" i="13" s="1"/>
  <c r="P12" i="13"/>
  <c r="N12" i="13"/>
  <c r="M12" i="13"/>
  <c r="P11" i="13"/>
  <c r="N11" i="13"/>
  <c r="M11" i="13"/>
  <c r="O11" i="13" s="1"/>
  <c r="P10" i="13"/>
  <c r="N10" i="13"/>
  <c r="O10" i="13" s="1"/>
  <c r="M10" i="13"/>
  <c r="P9" i="13"/>
  <c r="N9" i="13"/>
  <c r="M9" i="13"/>
  <c r="O9" i="13" s="1"/>
  <c r="AY42" i="12"/>
  <c r="AW42" i="12"/>
  <c r="AV42" i="12"/>
  <c r="AY41" i="12"/>
  <c r="AW41" i="12"/>
  <c r="AV41" i="12"/>
  <c r="AY40" i="12"/>
  <c r="AW40" i="12"/>
  <c r="AV40" i="12"/>
  <c r="AY39" i="12"/>
  <c r="AW39" i="12"/>
  <c r="AV39" i="12"/>
  <c r="AY38" i="12"/>
  <c r="AW38" i="12"/>
  <c r="AV38" i="12"/>
  <c r="AX38" i="12" s="1"/>
  <c r="AY37" i="12"/>
  <c r="AW37" i="12"/>
  <c r="AV37" i="12"/>
  <c r="AY36" i="12"/>
  <c r="AW36" i="12"/>
  <c r="AV36" i="12"/>
  <c r="AY35" i="12"/>
  <c r="AW35" i="12"/>
  <c r="AV35" i="12"/>
  <c r="AY34" i="12"/>
  <c r="AW34" i="12"/>
  <c r="AV34" i="12"/>
  <c r="AX34" i="12" s="1"/>
  <c r="AY33" i="12"/>
  <c r="AW33" i="12"/>
  <c r="AV33" i="12"/>
  <c r="AY32" i="12"/>
  <c r="AW32" i="12"/>
  <c r="AV32" i="12"/>
  <c r="AX32" i="12" s="1"/>
  <c r="AY31" i="12"/>
  <c r="AW31" i="12"/>
  <c r="AV31" i="12"/>
  <c r="AY30" i="12"/>
  <c r="AW30" i="12"/>
  <c r="AV30" i="12"/>
  <c r="AX30" i="12" s="1"/>
  <c r="AY29" i="12"/>
  <c r="AW29" i="12"/>
  <c r="AV29" i="12"/>
  <c r="AY28" i="12"/>
  <c r="AW28" i="12"/>
  <c r="AV28" i="12"/>
  <c r="AX28" i="12" s="1"/>
  <c r="AY27" i="12"/>
  <c r="AW27" i="12"/>
  <c r="AV27" i="12"/>
  <c r="AY26" i="12"/>
  <c r="AW26" i="12"/>
  <c r="AV26" i="12"/>
  <c r="AY25" i="12"/>
  <c r="AW25" i="12"/>
  <c r="AV25" i="12"/>
  <c r="AY24" i="12"/>
  <c r="AW24" i="12"/>
  <c r="AV24" i="12"/>
  <c r="AX24" i="12" s="1"/>
  <c r="AY23" i="12"/>
  <c r="AW23" i="12"/>
  <c r="AV23" i="12"/>
  <c r="AY22" i="12"/>
  <c r="AW22" i="12"/>
  <c r="AV22" i="12"/>
  <c r="AX22" i="12" s="1"/>
  <c r="AY21" i="12"/>
  <c r="AW21" i="12"/>
  <c r="AV21" i="12"/>
  <c r="AY20" i="12"/>
  <c r="AW20" i="12"/>
  <c r="AV20" i="12"/>
  <c r="AX20" i="12" s="1"/>
  <c r="AY19" i="12"/>
  <c r="AW19" i="12"/>
  <c r="AV19" i="12"/>
  <c r="AY18" i="12"/>
  <c r="AW18" i="12"/>
  <c r="AV18" i="12"/>
  <c r="AX18" i="12" s="1"/>
  <c r="AY17" i="12"/>
  <c r="AW17" i="12"/>
  <c r="AV17" i="12"/>
  <c r="AY16" i="12"/>
  <c r="AW16" i="12"/>
  <c r="AV16" i="12"/>
  <c r="AX16" i="12" s="1"/>
  <c r="AY15" i="12"/>
  <c r="AW15" i="12"/>
  <c r="AV15" i="12"/>
  <c r="AY14" i="12"/>
  <c r="AW14" i="12"/>
  <c r="AV14" i="12"/>
  <c r="AX14" i="12" s="1"/>
  <c r="AY13" i="12"/>
  <c r="AW13" i="12"/>
  <c r="AV13" i="12"/>
  <c r="AX13" i="12" s="1"/>
  <c r="AY12" i="12"/>
  <c r="AW12" i="12"/>
  <c r="AV12" i="12"/>
  <c r="AY11" i="12"/>
  <c r="AW11" i="12"/>
  <c r="AV11" i="12"/>
  <c r="AX11" i="12" s="1"/>
  <c r="AY10" i="12"/>
  <c r="AW10" i="12"/>
  <c r="AV10" i="12"/>
  <c r="AY9" i="12"/>
  <c r="AW9" i="12"/>
  <c r="AV9" i="12"/>
  <c r="AX9" i="12" s="1"/>
  <c r="AT42" i="12"/>
  <c r="AR42" i="12"/>
  <c r="AQ42" i="12"/>
  <c r="AT41" i="12"/>
  <c r="AR41" i="12"/>
  <c r="AQ41" i="12"/>
  <c r="AT40" i="12"/>
  <c r="AR40" i="12"/>
  <c r="AS40" i="12" s="1"/>
  <c r="AQ40" i="12"/>
  <c r="AT39" i="12"/>
  <c r="AR39" i="12"/>
  <c r="AQ39" i="12"/>
  <c r="AT38" i="12"/>
  <c r="AR38" i="12"/>
  <c r="AS38" i="12" s="1"/>
  <c r="AQ38" i="12"/>
  <c r="AT37" i="12"/>
  <c r="AR37" i="12"/>
  <c r="AQ37" i="12"/>
  <c r="AT36" i="12"/>
  <c r="AR36" i="12"/>
  <c r="AQ36" i="12"/>
  <c r="AT35" i="12"/>
  <c r="AR35" i="12"/>
  <c r="AQ35" i="12"/>
  <c r="AS35" i="12" s="1"/>
  <c r="AT34" i="12"/>
  <c r="AR34" i="12"/>
  <c r="AQ34" i="12"/>
  <c r="AT33" i="12"/>
  <c r="AR33" i="12"/>
  <c r="AQ33" i="12"/>
  <c r="AS33" i="12" s="1"/>
  <c r="AT32" i="12"/>
  <c r="AR32" i="12"/>
  <c r="AS32" i="12" s="1"/>
  <c r="AQ32" i="12"/>
  <c r="AT31" i="12"/>
  <c r="AR31" i="12"/>
  <c r="AQ31" i="12"/>
  <c r="AT30" i="12"/>
  <c r="AR30" i="12"/>
  <c r="AQ30" i="12"/>
  <c r="AT29" i="12"/>
  <c r="AR29" i="12"/>
  <c r="AQ29" i="12"/>
  <c r="AT28" i="12"/>
  <c r="AR28" i="12"/>
  <c r="AQ28" i="12"/>
  <c r="AT27" i="12"/>
  <c r="AR27" i="12"/>
  <c r="AQ27" i="12"/>
  <c r="AS27" i="12" s="1"/>
  <c r="AT26" i="12"/>
  <c r="AR26" i="12"/>
  <c r="AQ26" i="12"/>
  <c r="AT25" i="12"/>
  <c r="AR25" i="12"/>
  <c r="AQ25" i="12"/>
  <c r="AT24" i="12"/>
  <c r="AR24" i="12"/>
  <c r="AQ24" i="12"/>
  <c r="AS24" i="12" s="1"/>
  <c r="AT23" i="12"/>
  <c r="AR23" i="12"/>
  <c r="AQ23" i="12"/>
  <c r="AT22" i="12"/>
  <c r="AR22" i="12"/>
  <c r="AQ22" i="12"/>
  <c r="AS22" i="12" s="1"/>
  <c r="AT21" i="12"/>
  <c r="AR21" i="12"/>
  <c r="AQ21" i="12"/>
  <c r="AT20" i="12"/>
  <c r="AR20" i="12"/>
  <c r="AQ20" i="12"/>
  <c r="AT19" i="12"/>
  <c r="AR19" i="12"/>
  <c r="AQ19" i="12"/>
  <c r="AS19" i="12" s="1"/>
  <c r="AT18" i="12"/>
  <c r="AR18" i="12"/>
  <c r="AQ18" i="12"/>
  <c r="AS18" i="12" s="1"/>
  <c r="AT17" i="12"/>
  <c r="AR17" i="12"/>
  <c r="AQ17" i="12"/>
  <c r="AT16" i="12"/>
  <c r="AR16" i="12"/>
  <c r="AS16" i="12" s="1"/>
  <c r="AQ16" i="12"/>
  <c r="AT15" i="12"/>
  <c r="AR15" i="12"/>
  <c r="AQ15" i="12"/>
  <c r="AT14" i="12"/>
  <c r="AR14" i="12"/>
  <c r="AQ14" i="12"/>
  <c r="AS14" i="12" s="1"/>
  <c r="AT13" i="12"/>
  <c r="AR13" i="12"/>
  <c r="AQ13" i="12"/>
  <c r="AT12" i="12"/>
  <c r="AR12" i="12"/>
  <c r="AQ12" i="12"/>
  <c r="AS12" i="12" s="1"/>
  <c r="AT11" i="12"/>
  <c r="AR11" i="12"/>
  <c r="AQ11" i="12"/>
  <c r="AT10" i="12"/>
  <c r="AR10" i="12"/>
  <c r="AQ10" i="12"/>
  <c r="AS10" i="12" s="1"/>
  <c r="AT9" i="12"/>
  <c r="AR9" i="12"/>
  <c r="AQ9" i="12"/>
  <c r="AO42" i="12"/>
  <c r="AM42" i="12"/>
  <c r="AL42" i="12"/>
  <c r="AO41" i="12"/>
  <c r="AM41" i="12"/>
  <c r="AL41" i="12"/>
  <c r="AO40" i="12"/>
  <c r="AM40" i="12"/>
  <c r="AL40" i="12"/>
  <c r="AN40" i="12" s="1"/>
  <c r="AO39" i="12"/>
  <c r="AM39" i="12"/>
  <c r="AL39" i="12"/>
  <c r="AO38" i="12"/>
  <c r="AM38" i="12"/>
  <c r="AL38" i="12"/>
  <c r="AO37" i="12"/>
  <c r="AM37" i="12"/>
  <c r="AL37" i="12"/>
  <c r="AO36" i="12"/>
  <c r="AM36" i="12"/>
  <c r="AL36" i="12"/>
  <c r="AN36" i="12" s="1"/>
  <c r="AO35" i="12"/>
  <c r="AM35" i="12"/>
  <c r="AL35" i="12"/>
  <c r="AO34" i="12"/>
  <c r="AM34" i="12"/>
  <c r="AL34" i="12"/>
  <c r="AO33" i="12"/>
  <c r="AM33" i="12"/>
  <c r="AL33" i="12"/>
  <c r="AN33" i="12" s="1"/>
  <c r="AO32" i="12"/>
  <c r="AM32" i="12"/>
  <c r="AL32" i="12"/>
  <c r="AN32" i="12" s="1"/>
  <c r="AO31" i="12"/>
  <c r="AM31" i="12"/>
  <c r="AL31" i="12"/>
  <c r="AO30" i="12"/>
  <c r="AM30" i="12"/>
  <c r="AL30" i="12"/>
  <c r="AO29" i="12"/>
  <c r="AM29" i="12"/>
  <c r="AL29" i="12"/>
  <c r="AN29" i="12" s="1"/>
  <c r="AO28" i="12"/>
  <c r="AM28" i="12"/>
  <c r="AN28" i="12" s="1"/>
  <c r="AL28" i="12"/>
  <c r="AO27" i="12"/>
  <c r="AM27" i="12"/>
  <c r="AL27" i="12"/>
  <c r="AO26" i="12"/>
  <c r="AM26" i="12"/>
  <c r="AL26" i="12"/>
  <c r="AN26" i="12" s="1"/>
  <c r="AO25" i="12"/>
  <c r="AM25" i="12"/>
  <c r="AL25" i="12"/>
  <c r="AO24" i="12"/>
  <c r="AM24" i="12"/>
  <c r="AL24" i="12"/>
  <c r="AO23" i="12"/>
  <c r="AM23" i="12"/>
  <c r="AL23" i="12"/>
  <c r="AO22" i="12"/>
  <c r="AM22" i="12"/>
  <c r="AL22" i="12"/>
  <c r="AO21" i="12"/>
  <c r="AM21" i="12"/>
  <c r="AL21" i="12"/>
  <c r="AN21" i="12" s="1"/>
  <c r="AO20" i="12"/>
  <c r="AN20" i="12"/>
  <c r="AM20" i="12"/>
  <c r="AL20" i="12"/>
  <c r="AO19" i="12"/>
  <c r="AM19" i="12"/>
  <c r="AL19" i="12"/>
  <c r="AO18" i="12"/>
  <c r="AM18" i="12"/>
  <c r="AL18" i="12"/>
  <c r="AO17" i="12"/>
  <c r="AM17" i="12"/>
  <c r="AL17" i="12"/>
  <c r="AN17" i="12" s="1"/>
  <c r="AO16" i="12"/>
  <c r="AM16" i="12"/>
  <c r="AL16" i="12"/>
  <c r="AO15" i="12"/>
  <c r="AM15" i="12"/>
  <c r="AL15" i="12"/>
  <c r="AO14" i="12"/>
  <c r="AM14" i="12"/>
  <c r="AL14" i="12"/>
  <c r="AO13" i="12"/>
  <c r="AM13" i="12"/>
  <c r="AL13" i="12"/>
  <c r="AN13" i="12" s="1"/>
  <c r="AO12" i="12"/>
  <c r="AN12" i="12"/>
  <c r="AM12" i="12"/>
  <c r="AL12" i="12"/>
  <c r="AO11" i="12"/>
  <c r="AM11" i="12"/>
  <c r="AL11" i="12"/>
  <c r="AO10" i="12"/>
  <c r="AM10" i="12"/>
  <c r="AL10" i="12"/>
  <c r="AN10" i="12" s="1"/>
  <c r="AO9" i="12"/>
  <c r="AM9" i="12"/>
  <c r="AL9" i="12"/>
  <c r="AN9" i="12" s="1"/>
  <c r="AJ42" i="12"/>
  <c r="AH42" i="12"/>
  <c r="AG42" i="12"/>
  <c r="AI42" i="12" s="1"/>
  <c r="AJ41" i="12"/>
  <c r="AH41" i="12"/>
  <c r="AG41" i="12"/>
  <c r="AJ40" i="12"/>
  <c r="AH40" i="12"/>
  <c r="AG40" i="12"/>
  <c r="AI40" i="12" s="1"/>
  <c r="AJ39" i="12"/>
  <c r="AH39" i="12"/>
  <c r="AG39" i="12"/>
  <c r="AJ38" i="12"/>
  <c r="AH38" i="12"/>
  <c r="AG38" i="12"/>
  <c r="AJ37" i="12"/>
  <c r="AH37" i="12"/>
  <c r="AG37" i="12"/>
  <c r="AI37" i="12" s="1"/>
  <c r="AJ36" i="12"/>
  <c r="AH36" i="12"/>
  <c r="AG36" i="12"/>
  <c r="AJ35" i="12"/>
  <c r="AH35" i="12"/>
  <c r="AG35" i="12"/>
  <c r="AJ34" i="12"/>
  <c r="AH34" i="12"/>
  <c r="AG34" i="12"/>
  <c r="AJ33" i="12"/>
  <c r="AH33" i="12"/>
  <c r="AG33" i="12"/>
  <c r="AI33" i="12" s="1"/>
  <c r="AJ32" i="12"/>
  <c r="AH32" i="12"/>
  <c r="AG32" i="12"/>
  <c r="AJ31" i="12"/>
  <c r="AH31" i="12"/>
  <c r="AG31" i="12"/>
  <c r="AJ30" i="12"/>
  <c r="AH30" i="12"/>
  <c r="AG30" i="12"/>
  <c r="AJ29" i="12"/>
  <c r="AH29" i="12"/>
  <c r="AG29" i="12"/>
  <c r="AJ28" i="12"/>
  <c r="AH28" i="12"/>
  <c r="AG28" i="12"/>
  <c r="AJ27" i="12"/>
  <c r="AH27" i="12"/>
  <c r="AG27" i="12"/>
  <c r="AJ26" i="12"/>
  <c r="AH26" i="12"/>
  <c r="AG26" i="12"/>
  <c r="AJ25" i="12"/>
  <c r="AH25" i="12"/>
  <c r="AG25" i="12"/>
  <c r="AI25" i="12" s="1"/>
  <c r="AJ24" i="12"/>
  <c r="AH24" i="12"/>
  <c r="AG24" i="12"/>
  <c r="AJ23" i="12"/>
  <c r="AH23" i="12"/>
  <c r="AG23" i="12"/>
  <c r="AJ22" i="12"/>
  <c r="AH22" i="12"/>
  <c r="AG22" i="12"/>
  <c r="AJ21" i="12"/>
  <c r="AH21" i="12"/>
  <c r="AG21" i="12"/>
  <c r="AJ20" i="12"/>
  <c r="AH20" i="12"/>
  <c r="AG20" i="12"/>
  <c r="AJ19" i="12"/>
  <c r="AH19" i="12"/>
  <c r="AG19" i="12"/>
  <c r="AJ18" i="12"/>
  <c r="AH18" i="12"/>
  <c r="AG18" i="12"/>
  <c r="AJ17" i="12"/>
  <c r="AH17" i="12"/>
  <c r="AG17" i="12"/>
  <c r="AI17" i="12" s="1"/>
  <c r="AJ16" i="12"/>
  <c r="AH16" i="12"/>
  <c r="AG16" i="12"/>
  <c r="AJ15" i="12"/>
  <c r="AH15" i="12"/>
  <c r="AG15" i="12"/>
  <c r="AJ14" i="12"/>
  <c r="AH14" i="12"/>
  <c r="AG14" i="12"/>
  <c r="AJ13" i="12"/>
  <c r="AH13" i="12"/>
  <c r="AG13" i="12"/>
  <c r="AJ12" i="12"/>
  <c r="AH12" i="12"/>
  <c r="AG12" i="12"/>
  <c r="AJ11" i="12"/>
  <c r="AH11" i="12"/>
  <c r="AG11" i="12"/>
  <c r="AJ10" i="12"/>
  <c r="AH10" i="12"/>
  <c r="AG10" i="12"/>
  <c r="AJ9" i="12"/>
  <c r="AH9" i="12"/>
  <c r="AG9" i="12"/>
  <c r="AI9" i="12" s="1"/>
  <c r="AE42" i="12"/>
  <c r="AC42" i="12"/>
  <c r="AB42" i="12"/>
  <c r="AE41" i="12"/>
  <c r="AC41" i="12"/>
  <c r="AB41" i="12"/>
  <c r="AE40" i="12"/>
  <c r="AC40" i="12"/>
  <c r="AD40" i="12" s="1"/>
  <c r="AB40" i="12"/>
  <c r="AE39" i="12"/>
  <c r="AC39" i="12"/>
  <c r="AB39" i="12"/>
  <c r="AE38" i="12"/>
  <c r="AC38" i="12"/>
  <c r="AB38" i="12"/>
  <c r="AE37" i="12"/>
  <c r="AC37" i="12"/>
  <c r="AB37" i="12"/>
  <c r="AE36" i="12"/>
  <c r="AC36" i="12"/>
  <c r="AB36" i="12"/>
  <c r="AE35" i="12"/>
  <c r="AC35" i="12"/>
  <c r="AB35" i="12"/>
  <c r="AE34" i="12"/>
  <c r="AC34" i="12"/>
  <c r="AB34" i="12"/>
  <c r="AE33" i="12"/>
  <c r="AC33" i="12"/>
  <c r="AB33" i="12"/>
  <c r="AE32" i="12"/>
  <c r="AC32" i="12"/>
  <c r="AD32" i="12" s="1"/>
  <c r="AB32" i="12"/>
  <c r="AE31" i="12"/>
  <c r="AC31" i="12"/>
  <c r="AB31" i="12"/>
  <c r="AE30" i="12"/>
  <c r="AC30" i="12"/>
  <c r="AB30" i="12"/>
  <c r="AE29" i="12"/>
  <c r="AC29" i="12"/>
  <c r="AB29" i="12"/>
  <c r="AE28" i="12"/>
  <c r="AC28" i="12"/>
  <c r="AB28" i="12"/>
  <c r="AE27" i="12"/>
  <c r="AC27" i="12"/>
  <c r="AB27" i="12"/>
  <c r="AE26" i="12"/>
  <c r="AC26" i="12"/>
  <c r="AB26" i="12"/>
  <c r="AE25" i="12"/>
  <c r="AC25" i="12"/>
  <c r="AB25" i="12"/>
  <c r="AE24" i="12"/>
  <c r="AC24" i="12"/>
  <c r="AD24" i="12" s="1"/>
  <c r="AB24" i="12"/>
  <c r="AE23" i="12"/>
  <c r="AC23" i="12"/>
  <c r="AB23" i="12"/>
  <c r="AE22" i="12"/>
  <c r="AC22" i="12"/>
  <c r="AB22" i="12"/>
  <c r="AE21" i="12"/>
  <c r="AC21" i="12"/>
  <c r="AB21" i="12"/>
  <c r="AE20" i="12"/>
  <c r="AC20" i="12"/>
  <c r="AB20" i="12"/>
  <c r="AE19" i="12"/>
  <c r="AC19" i="12"/>
  <c r="AB19" i="12"/>
  <c r="AD19" i="12" s="1"/>
  <c r="AE18" i="12"/>
  <c r="AC18" i="12"/>
  <c r="AB18" i="12"/>
  <c r="AE17" i="12"/>
  <c r="AC17" i="12"/>
  <c r="AB17" i="12"/>
  <c r="AE16" i="12"/>
  <c r="AC16" i="12"/>
  <c r="AB16" i="12"/>
  <c r="AE15" i="12"/>
  <c r="AC15" i="12"/>
  <c r="AB15" i="12"/>
  <c r="AE14" i="12"/>
  <c r="AC14" i="12"/>
  <c r="AD14" i="12" s="1"/>
  <c r="AB14" i="12"/>
  <c r="AE13" i="12"/>
  <c r="AC13" i="12"/>
  <c r="AB13" i="12"/>
  <c r="AE12" i="12"/>
  <c r="AC12" i="12"/>
  <c r="AB12" i="12"/>
  <c r="AE11" i="12"/>
  <c r="AC11" i="12"/>
  <c r="AB11" i="12"/>
  <c r="AE10" i="12"/>
  <c r="AC10" i="12"/>
  <c r="AB10" i="12"/>
  <c r="AD10" i="12" s="1"/>
  <c r="AE9" i="12"/>
  <c r="AC9" i="12"/>
  <c r="AB9" i="12"/>
  <c r="Z42" i="12"/>
  <c r="X42" i="12"/>
  <c r="W42" i="12"/>
  <c r="Y42" i="12" s="1"/>
  <c r="Z41" i="12"/>
  <c r="X41" i="12"/>
  <c r="W41" i="12"/>
  <c r="Z40" i="12"/>
  <c r="X40" i="12"/>
  <c r="W40" i="12"/>
  <c r="Z39" i="12"/>
  <c r="X39" i="12"/>
  <c r="W39" i="12"/>
  <c r="Z38" i="12"/>
  <c r="X38" i="12"/>
  <c r="W38" i="12"/>
  <c r="Z37" i="12"/>
  <c r="X37" i="12"/>
  <c r="W37" i="12"/>
  <c r="Z36" i="12"/>
  <c r="X36" i="12"/>
  <c r="W36" i="12"/>
  <c r="Y36" i="12" s="1"/>
  <c r="Z35" i="12"/>
  <c r="X35" i="12"/>
  <c r="W35" i="12"/>
  <c r="Z34" i="12"/>
  <c r="X34" i="12"/>
  <c r="W34" i="12"/>
  <c r="Z33" i="12"/>
  <c r="X33" i="12"/>
  <c r="Y33" i="12" s="1"/>
  <c r="W33" i="12"/>
  <c r="Z32" i="12"/>
  <c r="X32" i="12"/>
  <c r="W32" i="12"/>
  <c r="Y32" i="12" s="1"/>
  <c r="Z31" i="12"/>
  <c r="X31" i="12"/>
  <c r="W31" i="12"/>
  <c r="Z30" i="12"/>
  <c r="X30" i="12"/>
  <c r="W30" i="12"/>
  <c r="Y30" i="12" s="1"/>
  <c r="Z29" i="12"/>
  <c r="X29" i="12"/>
  <c r="W29" i="12"/>
  <c r="Z28" i="12"/>
  <c r="X28" i="12"/>
  <c r="W28" i="12"/>
  <c r="Y28" i="12" s="1"/>
  <c r="Z27" i="12"/>
  <c r="X27" i="12"/>
  <c r="W27" i="12"/>
  <c r="Z26" i="12"/>
  <c r="X26" i="12"/>
  <c r="W26" i="12"/>
  <c r="Z25" i="12"/>
  <c r="X25" i="12"/>
  <c r="W25" i="12"/>
  <c r="Z24" i="12"/>
  <c r="X24" i="12"/>
  <c r="W24" i="12"/>
  <c r="Y24" i="12" s="1"/>
  <c r="Z23" i="12"/>
  <c r="X23" i="12"/>
  <c r="W23" i="12"/>
  <c r="Z22" i="12"/>
  <c r="X22" i="12"/>
  <c r="W22" i="12"/>
  <c r="Y22" i="12" s="1"/>
  <c r="Z21" i="12"/>
  <c r="X21" i="12"/>
  <c r="W21" i="12"/>
  <c r="Z20" i="12"/>
  <c r="X20" i="12"/>
  <c r="W20" i="12"/>
  <c r="Z19" i="12"/>
  <c r="X19" i="12"/>
  <c r="W19" i="12"/>
  <c r="Z18" i="12"/>
  <c r="X18" i="12"/>
  <c r="W18" i="12"/>
  <c r="Z17" i="12"/>
  <c r="X17" i="12"/>
  <c r="W17" i="12"/>
  <c r="Z16" i="12"/>
  <c r="X16" i="12"/>
  <c r="W16" i="12"/>
  <c r="Y16" i="12" s="1"/>
  <c r="Z15" i="12"/>
  <c r="X15" i="12"/>
  <c r="W15" i="12"/>
  <c r="Z14" i="12"/>
  <c r="X14" i="12"/>
  <c r="W14" i="12"/>
  <c r="Y14" i="12" s="1"/>
  <c r="Z13" i="12"/>
  <c r="X13" i="12"/>
  <c r="W13" i="12"/>
  <c r="Z12" i="12"/>
  <c r="X12" i="12"/>
  <c r="W12" i="12"/>
  <c r="Z11" i="12"/>
  <c r="X11" i="12"/>
  <c r="W11" i="12"/>
  <c r="Z10" i="12"/>
  <c r="X10" i="12"/>
  <c r="W10" i="12"/>
  <c r="Z9" i="12"/>
  <c r="X9" i="12"/>
  <c r="W9" i="12"/>
  <c r="U42" i="12"/>
  <c r="S42" i="12"/>
  <c r="R42" i="12"/>
  <c r="T42" i="12" s="1"/>
  <c r="U41" i="12"/>
  <c r="T41" i="12"/>
  <c r="S41" i="12"/>
  <c r="R41" i="12"/>
  <c r="U40" i="12"/>
  <c r="S40" i="12"/>
  <c r="R40" i="12"/>
  <c r="U39" i="12"/>
  <c r="S39" i="12"/>
  <c r="R39" i="12"/>
  <c r="T39" i="12" s="1"/>
  <c r="U38" i="12"/>
  <c r="S38" i="12"/>
  <c r="R38" i="12"/>
  <c r="T38" i="12" s="1"/>
  <c r="U37" i="12"/>
  <c r="S37" i="12"/>
  <c r="R37" i="12"/>
  <c r="T37" i="12" s="1"/>
  <c r="U36" i="12"/>
  <c r="S36" i="12"/>
  <c r="R36" i="12"/>
  <c r="U35" i="12"/>
  <c r="S35" i="12"/>
  <c r="R35" i="12"/>
  <c r="U34" i="12"/>
  <c r="S34" i="12"/>
  <c r="R34" i="12"/>
  <c r="U33" i="12"/>
  <c r="S33" i="12"/>
  <c r="R33" i="12"/>
  <c r="T33" i="12" s="1"/>
  <c r="U32" i="12"/>
  <c r="S32" i="12"/>
  <c r="R32" i="12"/>
  <c r="U31" i="12"/>
  <c r="S31" i="12"/>
  <c r="R31" i="12"/>
  <c r="U30" i="12"/>
  <c r="S30" i="12"/>
  <c r="R30" i="12"/>
  <c r="U29" i="12"/>
  <c r="S29" i="12"/>
  <c r="R29" i="12"/>
  <c r="U28" i="12"/>
  <c r="S28" i="12"/>
  <c r="R28" i="12"/>
  <c r="U27" i="12"/>
  <c r="S27" i="12"/>
  <c r="R27" i="12"/>
  <c r="U26" i="12"/>
  <c r="S26" i="12"/>
  <c r="R26" i="12"/>
  <c r="U25" i="12"/>
  <c r="S25" i="12"/>
  <c r="R25" i="12"/>
  <c r="T25" i="12" s="1"/>
  <c r="U24" i="12"/>
  <c r="S24" i="12"/>
  <c r="R24" i="12"/>
  <c r="U23" i="12"/>
  <c r="S23" i="12"/>
  <c r="R23" i="12"/>
  <c r="U22" i="12"/>
  <c r="S22" i="12"/>
  <c r="R22" i="12"/>
  <c r="U21" i="12"/>
  <c r="S21" i="12"/>
  <c r="R21" i="12"/>
  <c r="U20" i="12"/>
  <c r="S20" i="12"/>
  <c r="T20" i="12" s="1"/>
  <c r="R20" i="12"/>
  <c r="U19" i="12"/>
  <c r="S19" i="12"/>
  <c r="R19" i="12"/>
  <c r="U18" i="12"/>
  <c r="S18" i="12"/>
  <c r="R18" i="12"/>
  <c r="U17" i="12"/>
  <c r="S17" i="12"/>
  <c r="R17" i="12"/>
  <c r="T17" i="12" s="1"/>
  <c r="U16" i="12"/>
  <c r="S16" i="12"/>
  <c r="R16" i="12"/>
  <c r="U15" i="12"/>
  <c r="S15" i="12"/>
  <c r="R15" i="12"/>
  <c r="U14" i="12"/>
  <c r="S14" i="12"/>
  <c r="R14" i="12"/>
  <c r="U13" i="12"/>
  <c r="S13" i="12"/>
  <c r="R13" i="12"/>
  <c r="U12" i="12"/>
  <c r="S12" i="12"/>
  <c r="T12" i="12" s="1"/>
  <c r="R12" i="12"/>
  <c r="U11" i="12"/>
  <c r="S11" i="12"/>
  <c r="R11" i="12"/>
  <c r="U10" i="12"/>
  <c r="S10" i="12"/>
  <c r="R10" i="12"/>
  <c r="U9" i="12"/>
  <c r="S9" i="12"/>
  <c r="R9" i="12"/>
  <c r="T9" i="12" s="1"/>
  <c r="P42" i="12"/>
  <c r="N42" i="12"/>
  <c r="M42" i="12"/>
  <c r="P41" i="12"/>
  <c r="N41" i="12"/>
  <c r="M41" i="12"/>
  <c r="P40" i="12"/>
  <c r="N40" i="12"/>
  <c r="M40" i="12"/>
  <c r="P39" i="12"/>
  <c r="N39" i="12"/>
  <c r="M39" i="12"/>
  <c r="P38" i="12"/>
  <c r="N38" i="12"/>
  <c r="M38" i="12"/>
  <c r="P37" i="12"/>
  <c r="N37" i="12"/>
  <c r="M37" i="12"/>
  <c r="O37" i="12" s="1"/>
  <c r="P36" i="12"/>
  <c r="N36" i="12"/>
  <c r="M36" i="12"/>
  <c r="O36" i="12" s="1"/>
  <c r="P35" i="12"/>
  <c r="N35" i="12"/>
  <c r="M35" i="12"/>
  <c r="P34" i="12"/>
  <c r="N34" i="12"/>
  <c r="M34" i="12"/>
  <c r="P33" i="12"/>
  <c r="N33" i="12"/>
  <c r="M33" i="12"/>
  <c r="P32" i="12"/>
  <c r="N32" i="12"/>
  <c r="M32" i="12"/>
  <c r="P31" i="12"/>
  <c r="N31" i="12"/>
  <c r="M31" i="12"/>
  <c r="P30" i="12"/>
  <c r="N30" i="12"/>
  <c r="M30" i="12"/>
  <c r="P29" i="12"/>
  <c r="N29" i="12"/>
  <c r="M29" i="12"/>
  <c r="O29" i="12" s="1"/>
  <c r="P28" i="12"/>
  <c r="N28" i="12"/>
  <c r="M28" i="12"/>
  <c r="O28" i="12" s="1"/>
  <c r="P27" i="12"/>
  <c r="N27" i="12"/>
  <c r="M27" i="12"/>
  <c r="P26" i="12"/>
  <c r="N26" i="12"/>
  <c r="M26" i="12"/>
  <c r="P25" i="12"/>
  <c r="N25" i="12"/>
  <c r="M25" i="12"/>
  <c r="P24" i="12"/>
  <c r="N24" i="12"/>
  <c r="M24" i="12"/>
  <c r="P23" i="12"/>
  <c r="N23" i="12"/>
  <c r="M23" i="12"/>
  <c r="P22" i="12"/>
  <c r="N22" i="12"/>
  <c r="M22" i="12"/>
  <c r="P21" i="12"/>
  <c r="N21" i="12"/>
  <c r="M21" i="12"/>
  <c r="O21" i="12" s="1"/>
  <c r="P20" i="12"/>
  <c r="N20" i="12"/>
  <c r="M20" i="12"/>
  <c r="O20" i="12" s="1"/>
  <c r="P19" i="12"/>
  <c r="N19" i="12"/>
  <c r="M19" i="12"/>
  <c r="P18" i="12"/>
  <c r="N18" i="12"/>
  <c r="M18" i="12"/>
  <c r="P17" i="12"/>
  <c r="N17" i="12"/>
  <c r="M17" i="12"/>
  <c r="P16" i="12"/>
  <c r="N16" i="12"/>
  <c r="M16" i="12"/>
  <c r="P15" i="12"/>
  <c r="N15" i="12"/>
  <c r="M15" i="12"/>
  <c r="P14" i="12"/>
  <c r="N14" i="12"/>
  <c r="M14" i="12"/>
  <c r="P13" i="12"/>
  <c r="N13" i="12"/>
  <c r="M13" i="12"/>
  <c r="O13" i="12" s="1"/>
  <c r="P12" i="12"/>
  <c r="N12" i="12"/>
  <c r="M12" i="12"/>
  <c r="O12" i="12" s="1"/>
  <c r="P11" i="12"/>
  <c r="N11" i="12"/>
  <c r="M11" i="12"/>
  <c r="P10" i="12"/>
  <c r="N10" i="12"/>
  <c r="M10" i="12"/>
  <c r="P9" i="12"/>
  <c r="N9" i="12"/>
  <c r="M9" i="12"/>
  <c r="DX63" i="19"/>
  <c r="DV63" i="19"/>
  <c r="DU63" i="19"/>
  <c r="DX62" i="19"/>
  <c r="DV62" i="19"/>
  <c r="DU62" i="19"/>
  <c r="DX61" i="19"/>
  <c r="DV61" i="19"/>
  <c r="DU61" i="19"/>
  <c r="DX60" i="19"/>
  <c r="DV60" i="19"/>
  <c r="DU60" i="19"/>
  <c r="DX59" i="19"/>
  <c r="DV59" i="19"/>
  <c r="DU59" i="19"/>
  <c r="DX58" i="19"/>
  <c r="DV58" i="19"/>
  <c r="DU58" i="19"/>
  <c r="DX57" i="19"/>
  <c r="DV57" i="19"/>
  <c r="DU57" i="19"/>
  <c r="DX56" i="19"/>
  <c r="DV56" i="19"/>
  <c r="DU56" i="19"/>
  <c r="DX55" i="19"/>
  <c r="DV55" i="19"/>
  <c r="DU55" i="19"/>
  <c r="DX54" i="19"/>
  <c r="DV54" i="19"/>
  <c r="DU54" i="19"/>
  <c r="DX53" i="19"/>
  <c r="DV53" i="19"/>
  <c r="DU53" i="19"/>
  <c r="DX52" i="19"/>
  <c r="DV52" i="19"/>
  <c r="DU52" i="19"/>
  <c r="DX51" i="19"/>
  <c r="DV51" i="19"/>
  <c r="DU51" i="19"/>
  <c r="DX50" i="19"/>
  <c r="DV50" i="19"/>
  <c r="DU50" i="19"/>
  <c r="DX49" i="19"/>
  <c r="DV49" i="19"/>
  <c r="DU49" i="19"/>
  <c r="DX48" i="19"/>
  <c r="DV48" i="19"/>
  <c r="DU48" i="19"/>
  <c r="DX47" i="19"/>
  <c r="DV47" i="19"/>
  <c r="DU47" i="19"/>
  <c r="DX46" i="19"/>
  <c r="DV46" i="19"/>
  <c r="DU46" i="19"/>
  <c r="DX45" i="19"/>
  <c r="DV45" i="19"/>
  <c r="DU45" i="19"/>
  <c r="DX44" i="19"/>
  <c r="DV44" i="19"/>
  <c r="DU44" i="19"/>
  <c r="DX43" i="19"/>
  <c r="DV43" i="19"/>
  <c r="DU43" i="19"/>
  <c r="DX42" i="19"/>
  <c r="DV42" i="19"/>
  <c r="DU42" i="19"/>
  <c r="DX41" i="19"/>
  <c r="DV41" i="19"/>
  <c r="DU41" i="19"/>
  <c r="DX40" i="19"/>
  <c r="DV40" i="19"/>
  <c r="DU40" i="19"/>
  <c r="DX39" i="19"/>
  <c r="DV39" i="19"/>
  <c r="DU39" i="19"/>
  <c r="DX38" i="19"/>
  <c r="DV38" i="19"/>
  <c r="DU38" i="19"/>
  <c r="DX37" i="19"/>
  <c r="DV37" i="19"/>
  <c r="DU37" i="19"/>
  <c r="DX36" i="19"/>
  <c r="DV36" i="19"/>
  <c r="DU36" i="19"/>
  <c r="DX35" i="19"/>
  <c r="DV35" i="19"/>
  <c r="DU35" i="19"/>
  <c r="DX34" i="19"/>
  <c r="DV34" i="19"/>
  <c r="DU34" i="19"/>
  <c r="DX33" i="19"/>
  <c r="DV33" i="19"/>
  <c r="DU33" i="19"/>
  <c r="DX32" i="19"/>
  <c r="DV32" i="19"/>
  <c r="DU32" i="19"/>
  <c r="DW32" i="19" s="1"/>
  <c r="DX31" i="19"/>
  <c r="DV31" i="19"/>
  <c r="DU31" i="19"/>
  <c r="DX30" i="19"/>
  <c r="DV30" i="19"/>
  <c r="DU30" i="19"/>
  <c r="DX29" i="19"/>
  <c r="DV29" i="19"/>
  <c r="DU29" i="19"/>
  <c r="DX28" i="19"/>
  <c r="DV28" i="19"/>
  <c r="DU28" i="19"/>
  <c r="DX27" i="19"/>
  <c r="DV27" i="19"/>
  <c r="DU27" i="19"/>
  <c r="DX26" i="19"/>
  <c r="DV26" i="19"/>
  <c r="DU26" i="19"/>
  <c r="DX25" i="19"/>
  <c r="DV25" i="19"/>
  <c r="DU25" i="19"/>
  <c r="DX24" i="19"/>
  <c r="DV24" i="19"/>
  <c r="DU24" i="19"/>
  <c r="DX23" i="19"/>
  <c r="DV23" i="19"/>
  <c r="DU23" i="19"/>
  <c r="DX22" i="19"/>
  <c r="DV22" i="19"/>
  <c r="DU22" i="19"/>
  <c r="DX21" i="19"/>
  <c r="DV21" i="19"/>
  <c r="DU21" i="19"/>
  <c r="DX20" i="19"/>
  <c r="DV20" i="19"/>
  <c r="DU20" i="19"/>
  <c r="DX19" i="19"/>
  <c r="DV19" i="19"/>
  <c r="DU19" i="19"/>
  <c r="DX18" i="19"/>
  <c r="DV18" i="19"/>
  <c r="DU18" i="19"/>
  <c r="DX17" i="19"/>
  <c r="DV17" i="19"/>
  <c r="DU17" i="19"/>
  <c r="DX16" i="19"/>
  <c r="DV16" i="19"/>
  <c r="DU16" i="19"/>
  <c r="DW16" i="19" s="1"/>
  <c r="DX15" i="19"/>
  <c r="DV15" i="19"/>
  <c r="DU15" i="19"/>
  <c r="DX14" i="19"/>
  <c r="DV14" i="19"/>
  <c r="DU14" i="19"/>
  <c r="DX13" i="19"/>
  <c r="DV13" i="19"/>
  <c r="DU13" i="19"/>
  <c r="DX12" i="19"/>
  <c r="DV12" i="19"/>
  <c r="DU12" i="19"/>
  <c r="DX11" i="19"/>
  <c r="DV11" i="19"/>
  <c r="DU11" i="19"/>
  <c r="DX10" i="19"/>
  <c r="DV10" i="19"/>
  <c r="DU10" i="19"/>
  <c r="DS63" i="19"/>
  <c r="DQ63" i="19"/>
  <c r="DP63" i="19"/>
  <c r="DS62" i="19"/>
  <c r="DQ62" i="19"/>
  <c r="DP62" i="19"/>
  <c r="DS61" i="19"/>
  <c r="DQ61" i="19"/>
  <c r="DP61" i="19"/>
  <c r="DS60" i="19"/>
  <c r="DQ60" i="19"/>
  <c r="DP60" i="19"/>
  <c r="DS59" i="19"/>
  <c r="DQ59" i="19"/>
  <c r="DR59" i="19" s="1"/>
  <c r="DP59" i="19"/>
  <c r="DS58" i="19"/>
  <c r="DQ58" i="19"/>
  <c r="DP58" i="19"/>
  <c r="DS57" i="19"/>
  <c r="DQ57" i="19"/>
  <c r="DP57" i="19"/>
  <c r="DS56" i="19"/>
  <c r="DQ56" i="19"/>
  <c r="DP56" i="19"/>
  <c r="DS55" i="19"/>
  <c r="DQ55" i="19"/>
  <c r="DP55" i="19"/>
  <c r="DS54" i="19"/>
  <c r="DQ54" i="19"/>
  <c r="DP54" i="19"/>
  <c r="DS53" i="19"/>
  <c r="DQ53" i="19"/>
  <c r="DP53" i="19"/>
  <c r="DS52" i="19"/>
  <c r="DQ52" i="19"/>
  <c r="DP52" i="19"/>
  <c r="DS51" i="19"/>
  <c r="DQ51" i="19"/>
  <c r="DR51" i="19" s="1"/>
  <c r="DP51" i="19"/>
  <c r="DS50" i="19"/>
  <c r="DQ50" i="19"/>
  <c r="DP50" i="19"/>
  <c r="DS49" i="19"/>
  <c r="DQ49" i="19"/>
  <c r="DP49" i="19"/>
  <c r="DS48" i="19"/>
  <c r="DQ48" i="19"/>
  <c r="DP48" i="19"/>
  <c r="DS47" i="19"/>
  <c r="DQ47" i="19"/>
  <c r="DP47" i="19"/>
  <c r="DS46" i="19"/>
  <c r="DQ46" i="19"/>
  <c r="DP46" i="19"/>
  <c r="DS45" i="19"/>
  <c r="DQ45" i="19"/>
  <c r="DP45" i="19"/>
  <c r="DS44" i="19"/>
  <c r="DQ44" i="19"/>
  <c r="DP44" i="19"/>
  <c r="DS43" i="19"/>
  <c r="DQ43" i="19"/>
  <c r="DP43" i="19"/>
  <c r="DS42" i="19"/>
  <c r="DQ42" i="19"/>
  <c r="DP42" i="19"/>
  <c r="DS41" i="19"/>
  <c r="DQ41" i="19"/>
  <c r="DP41" i="19"/>
  <c r="DS40" i="19"/>
  <c r="DQ40" i="19"/>
  <c r="DP40" i="19"/>
  <c r="DS39" i="19"/>
  <c r="DQ39" i="19"/>
  <c r="DP39" i="19"/>
  <c r="DS38" i="19"/>
  <c r="DQ38" i="19"/>
  <c r="DP38" i="19"/>
  <c r="DS37" i="19"/>
  <c r="DQ37" i="19"/>
  <c r="DP37" i="19"/>
  <c r="DS36" i="19"/>
  <c r="DQ36" i="19"/>
  <c r="DP36" i="19"/>
  <c r="DS35" i="19"/>
  <c r="DQ35" i="19"/>
  <c r="DP35" i="19"/>
  <c r="DS34" i="19"/>
  <c r="DQ34" i="19"/>
  <c r="DP34" i="19"/>
  <c r="DS33" i="19"/>
  <c r="DQ33" i="19"/>
  <c r="DP33" i="19"/>
  <c r="DS32" i="19"/>
  <c r="DQ32" i="19"/>
  <c r="DP32" i="19"/>
  <c r="DS31" i="19"/>
  <c r="DQ31" i="19"/>
  <c r="DR31" i="19" s="1"/>
  <c r="DP31" i="19"/>
  <c r="DS30" i="19"/>
  <c r="DQ30" i="19"/>
  <c r="DP30" i="19"/>
  <c r="DS29" i="19"/>
  <c r="DQ29" i="19"/>
  <c r="DP29" i="19"/>
  <c r="DS28" i="19"/>
  <c r="DQ28" i="19"/>
  <c r="DP28" i="19"/>
  <c r="DS27" i="19"/>
  <c r="DQ27" i="19"/>
  <c r="DP27" i="19"/>
  <c r="DS26" i="19"/>
  <c r="DQ26" i="19"/>
  <c r="DP26" i="19"/>
  <c r="DS25" i="19"/>
  <c r="DQ25" i="19"/>
  <c r="DP25" i="19"/>
  <c r="DS24" i="19"/>
  <c r="DQ24" i="19"/>
  <c r="DP24" i="19"/>
  <c r="DS23" i="19"/>
  <c r="DQ23" i="19"/>
  <c r="DP23" i="19"/>
  <c r="DS22" i="19"/>
  <c r="DQ22" i="19"/>
  <c r="DP22" i="19"/>
  <c r="DR22" i="19" s="1"/>
  <c r="DS21" i="19"/>
  <c r="DR21" i="19"/>
  <c r="DQ21" i="19"/>
  <c r="DP21" i="19"/>
  <c r="DS20" i="19"/>
  <c r="DQ20" i="19"/>
  <c r="DP20" i="19"/>
  <c r="DR20" i="19" s="1"/>
  <c r="DS19" i="19"/>
  <c r="DQ19" i="19"/>
  <c r="DP19" i="19"/>
  <c r="DR19" i="19" s="1"/>
  <c r="DS18" i="19"/>
  <c r="DQ18" i="19"/>
  <c r="DP18" i="19"/>
  <c r="DS17" i="19"/>
  <c r="DQ17" i="19"/>
  <c r="DP17" i="19"/>
  <c r="DS16" i="19"/>
  <c r="DQ16" i="19"/>
  <c r="DP16" i="19"/>
  <c r="DS15" i="19"/>
  <c r="DQ15" i="19"/>
  <c r="DP15" i="19"/>
  <c r="DS14" i="19"/>
  <c r="DQ14" i="19"/>
  <c r="DP14" i="19"/>
  <c r="DS13" i="19"/>
  <c r="DQ13" i="19"/>
  <c r="DP13" i="19"/>
  <c r="DS12" i="19"/>
  <c r="DQ12" i="19"/>
  <c r="DP12" i="19"/>
  <c r="DS11" i="19"/>
  <c r="DQ11" i="19"/>
  <c r="DP11" i="19"/>
  <c r="DR11" i="19" s="1"/>
  <c r="DS10" i="19"/>
  <c r="DQ10" i="19"/>
  <c r="DP10" i="19"/>
  <c r="DR10" i="19" s="1"/>
  <c r="DN63" i="19"/>
  <c r="DL63" i="19"/>
  <c r="DK63" i="19"/>
  <c r="DN62" i="19"/>
  <c r="DL62" i="19"/>
  <c r="DK62" i="19"/>
  <c r="DN61" i="19"/>
  <c r="DL61" i="19"/>
  <c r="DK61" i="19"/>
  <c r="DN60" i="19"/>
  <c r="DL60" i="19"/>
  <c r="DK60" i="19"/>
  <c r="DN59" i="19"/>
  <c r="DL59" i="19"/>
  <c r="DK59" i="19"/>
  <c r="DN58" i="19"/>
  <c r="DL58" i="19"/>
  <c r="DK58" i="19"/>
  <c r="DN57" i="19"/>
  <c r="DL57" i="19"/>
  <c r="DK57" i="19"/>
  <c r="DN56" i="19"/>
  <c r="DL56" i="19"/>
  <c r="DK56" i="19"/>
  <c r="DN55" i="19"/>
  <c r="DL55" i="19"/>
  <c r="DK55" i="19"/>
  <c r="DN54" i="19"/>
  <c r="DL54" i="19"/>
  <c r="DK54" i="19"/>
  <c r="DN53" i="19"/>
  <c r="DL53" i="19"/>
  <c r="DK53" i="19"/>
  <c r="DN52" i="19"/>
  <c r="DL52" i="19"/>
  <c r="DK52" i="19"/>
  <c r="DN51" i="19"/>
  <c r="DL51" i="19"/>
  <c r="DK51" i="19"/>
  <c r="DN50" i="19"/>
  <c r="DL50" i="19"/>
  <c r="DK50" i="19"/>
  <c r="DN49" i="19"/>
  <c r="DL49" i="19"/>
  <c r="DK49" i="19"/>
  <c r="DM49" i="19" s="1"/>
  <c r="DN48" i="19"/>
  <c r="DL48" i="19"/>
  <c r="DK48" i="19"/>
  <c r="DN47" i="19"/>
  <c r="DL47" i="19"/>
  <c r="DK47" i="19"/>
  <c r="DN46" i="19"/>
  <c r="DL46" i="19"/>
  <c r="DK46" i="19"/>
  <c r="DN45" i="19"/>
  <c r="DL45" i="19"/>
  <c r="DK45" i="19"/>
  <c r="DN44" i="19"/>
  <c r="DL44" i="19"/>
  <c r="DK44" i="19"/>
  <c r="DN43" i="19"/>
  <c r="DL43" i="19"/>
  <c r="DK43" i="19"/>
  <c r="DN42" i="19"/>
  <c r="DL42" i="19"/>
  <c r="DK42" i="19"/>
  <c r="DN41" i="19"/>
  <c r="DL41" i="19"/>
  <c r="DK41" i="19"/>
  <c r="DM41" i="19" s="1"/>
  <c r="DN40" i="19"/>
  <c r="DL40" i="19"/>
  <c r="DK40" i="19"/>
  <c r="DN39" i="19"/>
  <c r="DL39" i="19"/>
  <c r="DK39" i="19"/>
  <c r="DN38" i="19"/>
  <c r="DL38" i="19"/>
  <c r="DK38" i="19"/>
  <c r="DN37" i="19"/>
  <c r="DL37" i="19"/>
  <c r="DK37" i="19"/>
  <c r="DN36" i="19"/>
  <c r="DL36" i="19"/>
  <c r="DK36" i="19"/>
  <c r="DN35" i="19"/>
  <c r="DL35" i="19"/>
  <c r="DK35" i="19"/>
  <c r="DN34" i="19"/>
  <c r="DL34" i="19"/>
  <c r="DK34" i="19"/>
  <c r="DN33" i="19"/>
  <c r="DL33" i="19"/>
  <c r="DK33" i="19"/>
  <c r="DM33" i="19" s="1"/>
  <c r="DN32" i="19"/>
  <c r="DL32" i="19"/>
  <c r="DK32" i="19"/>
  <c r="DN31" i="19"/>
  <c r="DL31" i="19"/>
  <c r="DK31" i="19"/>
  <c r="DN30" i="19"/>
  <c r="DL30" i="19"/>
  <c r="DK30" i="19"/>
  <c r="DN29" i="19"/>
  <c r="DL29" i="19"/>
  <c r="DK29" i="19"/>
  <c r="DN28" i="19"/>
  <c r="DL28" i="19"/>
  <c r="DK28" i="19"/>
  <c r="DN27" i="19"/>
  <c r="DL27" i="19"/>
  <c r="DK27" i="19"/>
  <c r="DN26" i="19"/>
  <c r="DL26" i="19"/>
  <c r="DK26" i="19"/>
  <c r="DN25" i="19"/>
  <c r="DL25" i="19"/>
  <c r="DK25" i="19"/>
  <c r="DN24" i="19"/>
  <c r="DL24" i="19"/>
  <c r="DK24" i="19"/>
  <c r="DN23" i="19"/>
  <c r="DL23" i="19"/>
  <c r="DK23" i="19"/>
  <c r="DN22" i="19"/>
  <c r="DL22" i="19"/>
  <c r="DK22" i="19"/>
  <c r="DN21" i="19"/>
  <c r="DL21" i="19"/>
  <c r="DK21" i="19"/>
  <c r="DN20" i="19"/>
  <c r="DL20" i="19"/>
  <c r="DK20" i="19"/>
  <c r="DN19" i="19"/>
  <c r="DL19" i="19"/>
  <c r="DK19" i="19"/>
  <c r="DN18" i="19"/>
  <c r="DL18" i="19"/>
  <c r="DK18" i="19"/>
  <c r="DN17" i="19"/>
  <c r="DL17" i="19"/>
  <c r="DK17" i="19"/>
  <c r="DM17" i="19" s="1"/>
  <c r="DN16" i="19"/>
  <c r="DL16" i="19"/>
  <c r="DK16" i="19"/>
  <c r="DN15" i="19"/>
  <c r="DL15" i="19"/>
  <c r="DK15" i="19"/>
  <c r="DN14" i="19"/>
  <c r="DL14" i="19"/>
  <c r="DK14" i="19"/>
  <c r="DN13" i="19"/>
  <c r="DL13" i="19"/>
  <c r="DK13" i="19"/>
  <c r="DN12" i="19"/>
  <c r="DL12" i="19"/>
  <c r="DK12" i="19"/>
  <c r="DN11" i="19"/>
  <c r="DL11" i="19"/>
  <c r="DK11" i="19"/>
  <c r="DN10" i="19"/>
  <c r="DL10" i="19"/>
  <c r="DK10" i="19"/>
  <c r="DI63" i="19"/>
  <c r="DG63" i="19"/>
  <c r="DH63" i="19" s="1"/>
  <c r="DF63" i="19"/>
  <c r="DI62" i="19"/>
  <c r="DG62" i="19"/>
  <c r="DF62" i="19"/>
  <c r="DI61" i="19"/>
  <c r="DG61" i="19"/>
  <c r="DF61" i="19"/>
  <c r="DI60" i="19"/>
  <c r="DG60" i="19"/>
  <c r="DF60" i="19"/>
  <c r="DI59" i="19"/>
  <c r="DG59" i="19"/>
  <c r="DF59" i="19"/>
  <c r="DI58" i="19"/>
  <c r="DG58" i="19"/>
  <c r="DF58" i="19"/>
  <c r="DI57" i="19"/>
  <c r="DG57" i="19"/>
  <c r="DF57" i="19"/>
  <c r="DI56" i="19"/>
  <c r="DG56" i="19"/>
  <c r="DF56" i="19"/>
  <c r="DI55" i="19"/>
  <c r="DG55" i="19"/>
  <c r="DH55" i="19" s="1"/>
  <c r="DF55" i="19"/>
  <c r="DI54" i="19"/>
  <c r="DG54" i="19"/>
  <c r="DF54" i="19"/>
  <c r="DI53" i="19"/>
  <c r="DG53" i="19"/>
  <c r="DF53" i="19"/>
  <c r="DI52" i="19"/>
  <c r="DG52" i="19"/>
  <c r="DF52" i="19"/>
  <c r="DH52" i="19" s="1"/>
  <c r="DI51" i="19"/>
  <c r="DG51" i="19"/>
  <c r="DF51" i="19"/>
  <c r="DI50" i="19"/>
  <c r="DG50" i="19"/>
  <c r="DF50" i="19"/>
  <c r="DI49" i="19"/>
  <c r="DG49" i="19"/>
  <c r="DF49" i="19"/>
  <c r="DI48" i="19"/>
  <c r="DG48" i="19"/>
  <c r="DF48" i="19"/>
  <c r="DI47" i="19"/>
  <c r="DG47" i="19"/>
  <c r="DH47" i="19" s="1"/>
  <c r="DF47" i="19"/>
  <c r="DI46" i="19"/>
  <c r="DG46" i="19"/>
  <c r="DF46" i="19"/>
  <c r="DI45" i="19"/>
  <c r="DG45" i="19"/>
  <c r="DF45" i="19"/>
  <c r="DI44" i="19"/>
  <c r="DG44" i="19"/>
  <c r="DF44" i="19"/>
  <c r="DH44" i="19" s="1"/>
  <c r="DI43" i="19"/>
  <c r="DG43" i="19"/>
  <c r="DF43" i="19"/>
  <c r="DI42" i="19"/>
  <c r="DG42" i="19"/>
  <c r="DF42" i="19"/>
  <c r="DI41" i="19"/>
  <c r="DG41" i="19"/>
  <c r="DH41" i="19" s="1"/>
  <c r="DF41" i="19"/>
  <c r="DI40" i="19"/>
  <c r="DG40" i="19"/>
  <c r="DF40" i="19"/>
  <c r="DI39" i="19"/>
  <c r="DG39" i="19"/>
  <c r="DH39" i="19" s="1"/>
  <c r="DF39" i="19"/>
  <c r="DI38" i="19"/>
  <c r="DG38" i="19"/>
  <c r="DF38" i="19"/>
  <c r="DI37" i="19"/>
  <c r="DG37" i="19"/>
  <c r="DF37" i="19"/>
  <c r="DI36" i="19"/>
  <c r="DG36" i="19"/>
  <c r="DF36" i="19"/>
  <c r="DH36" i="19" s="1"/>
  <c r="DI35" i="19"/>
  <c r="DG35" i="19"/>
  <c r="DF35" i="19"/>
  <c r="DI34" i="19"/>
  <c r="DG34" i="19"/>
  <c r="DF34" i="19"/>
  <c r="DI33" i="19"/>
  <c r="DG33" i="19"/>
  <c r="DF33" i="19"/>
  <c r="DI32" i="19"/>
  <c r="DG32" i="19"/>
  <c r="DF32" i="19"/>
  <c r="DI31" i="19"/>
  <c r="DG31" i="19"/>
  <c r="DF31" i="19"/>
  <c r="DI30" i="19"/>
  <c r="DG30" i="19"/>
  <c r="DF30" i="19"/>
  <c r="DI29" i="19"/>
  <c r="DH29" i="19"/>
  <c r="DG29" i="19"/>
  <c r="DF29" i="19"/>
  <c r="DI28" i="19"/>
  <c r="DG28" i="19"/>
  <c r="DF28" i="19"/>
  <c r="DI27" i="19"/>
  <c r="DG27" i="19"/>
  <c r="DF27" i="19"/>
  <c r="DH27" i="19" s="1"/>
  <c r="DI26" i="19"/>
  <c r="DG26" i="19"/>
  <c r="DF26" i="19"/>
  <c r="DI25" i="19"/>
  <c r="DG25" i="19"/>
  <c r="DF25" i="19"/>
  <c r="DI24" i="19"/>
  <c r="DG24" i="19"/>
  <c r="DF24" i="19"/>
  <c r="DI23" i="19"/>
  <c r="DG23" i="19"/>
  <c r="DF23" i="19"/>
  <c r="DI22" i="19"/>
  <c r="DG22" i="19"/>
  <c r="DF22" i="19"/>
  <c r="DI21" i="19"/>
  <c r="DG21" i="19"/>
  <c r="DF21" i="19"/>
  <c r="DI20" i="19"/>
  <c r="DG20" i="19"/>
  <c r="DF20" i="19"/>
  <c r="DI19" i="19"/>
  <c r="DG19" i="19"/>
  <c r="DF19" i="19"/>
  <c r="DI18" i="19"/>
  <c r="DG18" i="19"/>
  <c r="DF18" i="19"/>
  <c r="DI17" i="19"/>
  <c r="DG17" i="19"/>
  <c r="DF17" i="19"/>
  <c r="DI16" i="19"/>
  <c r="DG16" i="19"/>
  <c r="DF16" i="19"/>
  <c r="DI15" i="19"/>
  <c r="DG15" i="19"/>
  <c r="DF15" i="19"/>
  <c r="DI14" i="19"/>
  <c r="DG14" i="19"/>
  <c r="DF14" i="19"/>
  <c r="DI13" i="19"/>
  <c r="DG13" i="19"/>
  <c r="DF13" i="19"/>
  <c r="DH13" i="19" s="1"/>
  <c r="DI12" i="19"/>
  <c r="DG12" i="19"/>
  <c r="DF12" i="19"/>
  <c r="DH12" i="19" s="1"/>
  <c r="DI11" i="19"/>
  <c r="DG11" i="19"/>
  <c r="DF11" i="19"/>
  <c r="DH11" i="19" s="1"/>
  <c r="DI10" i="19"/>
  <c r="DG10" i="19"/>
  <c r="DF10" i="19"/>
  <c r="DD63" i="19"/>
  <c r="DB63" i="19"/>
  <c r="DA63" i="19"/>
  <c r="DC63" i="19" s="1"/>
  <c r="DD62" i="19"/>
  <c r="DB62" i="19"/>
  <c r="DA62" i="19"/>
  <c r="DD61" i="19"/>
  <c r="DB61" i="19"/>
  <c r="DA61" i="19"/>
  <c r="DD60" i="19"/>
  <c r="DB60" i="19"/>
  <c r="DA60" i="19"/>
  <c r="DD59" i="19"/>
  <c r="DB59" i="19"/>
  <c r="DA59" i="19"/>
  <c r="DC59" i="19" s="1"/>
  <c r="DD58" i="19"/>
  <c r="DB58" i="19"/>
  <c r="DA58" i="19"/>
  <c r="DD57" i="19"/>
  <c r="DB57" i="19"/>
  <c r="DA57" i="19"/>
  <c r="DC57" i="19" s="1"/>
  <c r="DD56" i="19"/>
  <c r="DB56" i="19"/>
  <c r="DA56" i="19"/>
  <c r="DD55" i="19"/>
  <c r="DB55" i="19"/>
  <c r="DA55" i="19"/>
  <c r="DD54" i="19"/>
  <c r="DB54" i="19"/>
  <c r="DA54" i="19"/>
  <c r="DD53" i="19"/>
  <c r="DB53" i="19"/>
  <c r="DA53" i="19"/>
  <c r="DD52" i="19"/>
  <c r="DB52" i="19"/>
  <c r="DA52" i="19"/>
  <c r="DD51" i="19"/>
  <c r="DB51" i="19"/>
  <c r="DA51" i="19"/>
  <c r="DC51" i="19" s="1"/>
  <c r="DD50" i="19"/>
  <c r="DB50" i="19"/>
  <c r="DA50" i="19"/>
  <c r="DD49" i="19"/>
  <c r="DB49" i="19"/>
  <c r="DA49" i="19"/>
  <c r="DD48" i="19"/>
  <c r="DB48" i="19"/>
  <c r="DA48" i="19"/>
  <c r="DD47" i="19"/>
  <c r="DB47" i="19"/>
  <c r="DA47" i="19"/>
  <c r="DC47" i="19" s="1"/>
  <c r="DD46" i="19"/>
  <c r="DB46" i="19"/>
  <c r="DA46" i="19"/>
  <c r="DC46" i="19" s="1"/>
  <c r="DD45" i="19"/>
  <c r="DB45" i="19"/>
  <c r="DA45" i="19"/>
  <c r="DD44" i="19"/>
  <c r="DB44" i="19"/>
  <c r="DA44" i="19"/>
  <c r="DD43" i="19"/>
  <c r="DB43" i="19"/>
  <c r="DA43" i="19"/>
  <c r="DD42" i="19"/>
  <c r="DB42" i="19"/>
  <c r="DA42" i="19"/>
  <c r="DD41" i="19"/>
  <c r="DB41" i="19"/>
  <c r="DA41" i="19"/>
  <c r="DC41" i="19" s="1"/>
  <c r="DD40" i="19"/>
  <c r="DB40" i="19"/>
  <c r="DA40" i="19"/>
  <c r="DC40" i="19" s="1"/>
  <c r="DD39" i="19"/>
  <c r="DB39" i="19"/>
  <c r="DA39" i="19"/>
  <c r="DD38" i="19"/>
  <c r="DB38" i="19"/>
  <c r="DA38" i="19"/>
  <c r="DD37" i="19"/>
  <c r="DB37" i="19"/>
  <c r="DA37" i="19"/>
  <c r="DD36" i="19"/>
  <c r="DB36" i="19"/>
  <c r="DA36" i="19"/>
  <c r="DD35" i="19"/>
  <c r="DB35" i="19"/>
  <c r="DA35" i="19"/>
  <c r="DD34" i="19"/>
  <c r="DB34" i="19"/>
  <c r="DA34" i="19"/>
  <c r="DC34" i="19" s="1"/>
  <c r="DD33" i="19"/>
  <c r="DB33" i="19"/>
  <c r="DA33" i="19"/>
  <c r="DC33" i="19" s="1"/>
  <c r="DD32" i="19"/>
  <c r="DB32" i="19"/>
  <c r="DA32" i="19"/>
  <c r="DD31" i="19"/>
  <c r="DB31" i="19"/>
  <c r="DA31" i="19"/>
  <c r="DD30" i="19"/>
  <c r="DB30" i="19"/>
  <c r="DA30" i="19"/>
  <c r="DD29" i="19"/>
  <c r="DB29" i="19"/>
  <c r="DA29" i="19"/>
  <c r="DD28" i="19"/>
  <c r="DB28" i="19"/>
  <c r="DA28" i="19"/>
  <c r="DD27" i="19"/>
  <c r="DB27" i="19"/>
  <c r="DA27" i="19"/>
  <c r="DD26" i="19"/>
  <c r="DB26" i="19"/>
  <c r="DA26" i="19"/>
  <c r="DD25" i="19"/>
  <c r="DB25" i="19"/>
  <c r="DA25" i="19"/>
  <c r="DC25" i="19" s="1"/>
  <c r="DD24" i="19"/>
  <c r="DB24" i="19"/>
  <c r="DA24" i="19"/>
  <c r="DD23" i="19"/>
  <c r="DB23" i="19"/>
  <c r="DA23" i="19"/>
  <c r="DD22" i="19"/>
  <c r="DB22" i="19"/>
  <c r="DA22" i="19"/>
  <c r="DD21" i="19"/>
  <c r="DB21" i="19"/>
  <c r="DC21" i="19" s="1"/>
  <c r="DA21" i="19"/>
  <c r="DD20" i="19"/>
  <c r="DB20" i="19"/>
  <c r="DA20" i="19"/>
  <c r="DD19" i="19"/>
  <c r="DC19" i="19"/>
  <c r="DB19" i="19"/>
  <c r="DA19" i="19"/>
  <c r="DD18" i="19"/>
  <c r="DB18" i="19"/>
  <c r="DA18" i="19"/>
  <c r="DD17" i="19"/>
  <c r="DB17" i="19"/>
  <c r="DA17" i="19"/>
  <c r="DD16" i="19"/>
  <c r="DB16" i="19"/>
  <c r="DA16" i="19"/>
  <c r="DC16" i="19" s="1"/>
  <c r="DD15" i="19"/>
  <c r="DB15" i="19"/>
  <c r="DA15" i="19"/>
  <c r="DD14" i="19"/>
  <c r="DB14" i="19"/>
  <c r="DA14" i="19"/>
  <c r="DD13" i="19"/>
  <c r="DB13" i="19"/>
  <c r="DA13" i="19"/>
  <c r="DD12" i="19"/>
  <c r="DB12" i="19"/>
  <c r="DA12" i="19"/>
  <c r="DC12" i="19" s="1"/>
  <c r="DD11" i="19"/>
  <c r="DB11" i="19"/>
  <c r="DA11" i="19"/>
  <c r="DC11" i="19" s="1"/>
  <c r="DD10" i="19"/>
  <c r="DB10" i="19"/>
  <c r="DA10" i="19"/>
  <c r="CY63" i="19"/>
  <c r="CW63" i="19"/>
  <c r="CX63" i="19" s="1"/>
  <c r="CV63" i="19"/>
  <c r="CY62" i="19"/>
  <c r="CW62" i="19"/>
  <c r="CV62" i="19"/>
  <c r="CY61" i="19"/>
  <c r="CW61" i="19"/>
  <c r="CV61" i="19"/>
  <c r="CY60" i="19"/>
  <c r="CW60" i="19"/>
  <c r="CV60" i="19"/>
  <c r="CX60" i="19" s="1"/>
  <c r="CY59" i="19"/>
  <c r="CW59" i="19"/>
  <c r="CV59" i="19"/>
  <c r="CY58" i="19"/>
  <c r="CW58" i="19"/>
  <c r="CV58" i="19"/>
  <c r="CX58" i="19" s="1"/>
  <c r="CY57" i="19"/>
  <c r="CW57" i="19"/>
  <c r="CV57" i="19"/>
  <c r="CY56" i="19"/>
  <c r="CW56" i="19"/>
  <c r="CV56" i="19"/>
  <c r="CY55" i="19"/>
  <c r="CW55" i="19"/>
  <c r="CX55" i="19" s="1"/>
  <c r="CV55" i="19"/>
  <c r="CY54" i="19"/>
  <c r="CW54" i="19"/>
  <c r="CV54" i="19"/>
  <c r="CY53" i="19"/>
  <c r="CW53" i="19"/>
  <c r="CV53" i="19"/>
  <c r="CY52" i="19"/>
  <c r="CW52" i="19"/>
  <c r="CV52" i="19"/>
  <c r="CX52" i="19" s="1"/>
  <c r="CY51" i="19"/>
  <c r="CW51" i="19"/>
  <c r="CV51" i="19"/>
  <c r="CY50" i="19"/>
  <c r="CW50" i="19"/>
  <c r="CV50" i="19"/>
  <c r="CX50" i="19" s="1"/>
  <c r="CY49" i="19"/>
  <c r="CW49" i="19"/>
  <c r="CX49" i="19" s="1"/>
  <c r="CV49" i="19"/>
  <c r="CY48" i="19"/>
  <c r="CW48" i="19"/>
  <c r="CV48" i="19"/>
  <c r="CY47" i="19"/>
  <c r="CW47" i="19"/>
  <c r="CX47" i="19" s="1"/>
  <c r="CV47" i="19"/>
  <c r="CY46" i="19"/>
  <c r="CW46" i="19"/>
  <c r="CV46" i="19"/>
  <c r="CY45" i="19"/>
  <c r="CW45" i="19"/>
  <c r="CV45" i="19"/>
  <c r="CY44" i="19"/>
  <c r="CW44" i="19"/>
  <c r="CV44" i="19"/>
  <c r="CX44" i="19" s="1"/>
  <c r="CY43" i="19"/>
  <c r="CW43" i="19"/>
  <c r="CV43" i="19"/>
  <c r="CY42" i="19"/>
  <c r="CW42" i="19"/>
  <c r="CV42" i="19"/>
  <c r="CX42" i="19" s="1"/>
  <c r="CY41" i="19"/>
  <c r="CW41" i="19"/>
  <c r="CX41" i="19" s="1"/>
  <c r="CV41" i="19"/>
  <c r="CY40" i="19"/>
  <c r="CW40" i="19"/>
  <c r="CV40" i="19"/>
  <c r="CY39" i="19"/>
  <c r="CW39" i="19"/>
  <c r="CX39" i="19" s="1"/>
  <c r="CV39" i="19"/>
  <c r="CY38" i="19"/>
  <c r="CW38" i="19"/>
  <c r="CV38" i="19"/>
  <c r="CY37" i="19"/>
  <c r="CW37" i="19"/>
  <c r="CV37" i="19"/>
  <c r="CY36" i="19"/>
  <c r="CW36" i="19"/>
  <c r="CV36" i="19"/>
  <c r="CY35" i="19"/>
  <c r="CW35" i="19"/>
  <c r="CV35" i="19"/>
  <c r="CY34" i="19"/>
  <c r="CW34" i="19"/>
  <c r="CV34" i="19"/>
  <c r="CY33" i="19"/>
  <c r="CW33" i="19"/>
  <c r="CV33" i="19"/>
  <c r="CY32" i="19"/>
  <c r="CW32" i="19"/>
  <c r="CV32" i="19"/>
  <c r="CY31" i="19"/>
  <c r="CW31" i="19"/>
  <c r="CV31" i="19"/>
  <c r="CY30" i="19"/>
  <c r="CW30" i="19"/>
  <c r="CV30" i="19"/>
  <c r="CX30" i="19" s="1"/>
  <c r="CY29" i="19"/>
  <c r="CW29" i="19"/>
  <c r="CV29" i="19"/>
  <c r="CX29" i="19" s="1"/>
  <c r="CY28" i="19"/>
  <c r="CW28" i="19"/>
  <c r="CV28" i="19"/>
  <c r="CY27" i="19"/>
  <c r="CW27" i="19"/>
  <c r="CX27" i="19" s="1"/>
  <c r="CV27" i="19"/>
  <c r="CY26" i="19"/>
  <c r="CW26" i="19"/>
  <c r="CV26" i="19"/>
  <c r="CY25" i="19"/>
  <c r="CW25" i="19"/>
  <c r="CX25" i="19" s="1"/>
  <c r="CV25" i="19"/>
  <c r="CY24" i="19"/>
  <c r="CW24" i="19"/>
  <c r="CV24" i="19"/>
  <c r="CY23" i="19"/>
  <c r="CW23" i="19"/>
  <c r="CV23" i="19"/>
  <c r="CY22" i="19"/>
  <c r="CW22" i="19"/>
  <c r="CV22" i="19"/>
  <c r="CY21" i="19"/>
  <c r="CW21" i="19"/>
  <c r="CV21" i="19"/>
  <c r="CX21" i="19" s="1"/>
  <c r="CY20" i="19"/>
  <c r="CW20" i="19"/>
  <c r="CV20" i="19"/>
  <c r="CY19" i="19"/>
  <c r="CW19" i="19"/>
  <c r="CV19" i="19"/>
  <c r="CY18" i="19"/>
  <c r="CW18" i="19"/>
  <c r="CV18" i="19"/>
  <c r="CY17" i="19"/>
  <c r="CW17" i="19"/>
  <c r="CV17" i="19"/>
  <c r="CY16" i="19"/>
  <c r="CW16" i="19"/>
  <c r="CV16" i="19"/>
  <c r="CY15" i="19"/>
  <c r="CW15" i="19"/>
  <c r="CV15" i="19"/>
  <c r="CY14" i="19"/>
  <c r="CW14" i="19"/>
  <c r="CV14" i="19"/>
  <c r="CY13" i="19"/>
  <c r="CW13" i="19"/>
  <c r="CV13" i="19"/>
  <c r="CX13" i="19" s="1"/>
  <c r="CY12" i="19"/>
  <c r="CW12" i="19"/>
  <c r="CV12" i="19"/>
  <c r="CY11" i="19"/>
  <c r="CW11" i="19"/>
  <c r="CV11" i="19"/>
  <c r="CY10" i="19"/>
  <c r="CW10" i="19"/>
  <c r="CV10" i="19"/>
  <c r="CT63" i="19"/>
  <c r="CR63" i="19"/>
  <c r="CQ63" i="19"/>
  <c r="CT62" i="19"/>
  <c r="CR62" i="19"/>
  <c r="CQ62" i="19"/>
  <c r="CT61" i="19"/>
  <c r="CR61" i="19"/>
  <c r="CQ61" i="19"/>
  <c r="CS61" i="19" s="1"/>
  <c r="CT60" i="19"/>
  <c r="CR60" i="19"/>
  <c r="CQ60" i="19"/>
  <c r="CT59" i="19"/>
  <c r="CR59" i="19"/>
  <c r="CQ59" i="19"/>
  <c r="CS59" i="19" s="1"/>
  <c r="CT58" i="19"/>
  <c r="CR58" i="19"/>
  <c r="CQ58" i="19"/>
  <c r="CT57" i="19"/>
  <c r="CR57" i="19"/>
  <c r="CQ57" i="19"/>
  <c r="CT56" i="19"/>
  <c r="CR56" i="19"/>
  <c r="CQ56" i="19"/>
  <c r="CT55" i="19"/>
  <c r="CR55" i="19"/>
  <c r="CQ55" i="19"/>
  <c r="CT54" i="19"/>
  <c r="CR54" i="19"/>
  <c r="CQ54" i="19"/>
  <c r="CS54" i="19" s="1"/>
  <c r="CT53" i="19"/>
  <c r="CR53" i="19"/>
  <c r="CQ53" i="19"/>
  <c r="CT52" i="19"/>
  <c r="CR52" i="19"/>
  <c r="CQ52" i="19"/>
  <c r="CT51" i="19"/>
  <c r="CR51" i="19"/>
  <c r="CQ51" i="19"/>
  <c r="CT50" i="19"/>
  <c r="CR50" i="19"/>
  <c r="CQ50" i="19"/>
  <c r="CT49" i="19"/>
  <c r="CR49" i="19"/>
  <c r="CQ49" i="19"/>
  <c r="CT48" i="19"/>
  <c r="CR48" i="19"/>
  <c r="CQ48" i="19"/>
  <c r="CT47" i="19"/>
  <c r="CR47" i="19"/>
  <c r="CQ47" i="19"/>
  <c r="CT46" i="19"/>
  <c r="CR46" i="19"/>
  <c r="CQ46" i="19"/>
  <c r="CS46" i="19" s="1"/>
  <c r="CT45" i="19"/>
  <c r="CR45" i="19"/>
  <c r="CQ45" i="19"/>
  <c r="CT44" i="19"/>
  <c r="CR44" i="19"/>
  <c r="CQ44" i="19"/>
  <c r="CT43" i="19"/>
  <c r="CR43" i="19"/>
  <c r="CQ43" i="19"/>
  <c r="CT42" i="19"/>
  <c r="CR42" i="19"/>
  <c r="CQ42" i="19"/>
  <c r="CT41" i="19"/>
  <c r="CR41" i="19"/>
  <c r="CQ41" i="19"/>
  <c r="CT40" i="19"/>
  <c r="CR40" i="19"/>
  <c r="CQ40" i="19"/>
  <c r="CT39" i="19"/>
  <c r="CR39" i="19"/>
  <c r="CQ39" i="19"/>
  <c r="CT38" i="19"/>
  <c r="CR38" i="19"/>
  <c r="CQ38" i="19"/>
  <c r="CS38" i="19" s="1"/>
  <c r="CT37" i="19"/>
  <c r="CR37" i="19"/>
  <c r="CQ37" i="19"/>
  <c r="CT36" i="19"/>
  <c r="CR36" i="19"/>
  <c r="CQ36" i="19"/>
  <c r="CT35" i="19"/>
  <c r="CR35" i="19"/>
  <c r="CQ35" i="19"/>
  <c r="CT34" i="19"/>
  <c r="CR34" i="19"/>
  <c r="CQ34" i="19"/>
  <c r="CT33" i="19"/>
  <c r="CR33" i="19"/>
  <c r="CQ33" i="19"/>
  <c r="CT32" i="19"/>
  <c r="CR32" i="19"/>
  <c r="CQ32" i="19"/>
  <c r="CT31" i="19"/>
  <c r="CR31" i="19"/>
  <c r="CQ31" i="19"/>
  <c r="CT30" i="19"/>
  <c r="CR30" i="19"/>
  <c r="CQ30" i="19"/>
  <c r="CS30" i="19" s="1"/>
  <c r="CT29" i="19"/>
  <c r="CR29" i="19"/>
  <c r="CQ29" i="19"/>
  <c r="CT28" i="19"/>
  <c r="CR28" i="19"/>
  <c r="CQ28" i="19"/>
  <c r="CT27" i="19"/>
  <c r="CR27" i="19"/>
  <c r="CQ27" i="19"/>
  <c r="CT26" i="19"/>
  <c r="CR26" i="19"/>
  <c r="CQ26" i="19"/>
  <c r="CT25" i="19"/>
  <c r="CR25" i="19"/>
  <c r="CQ25" i="19"/>
  <c r="CT24" i="19"/>
  <c r="CR24" i="19"/>
  <c r="CQ24" i="19"/>
  <c r="CS24" i="19" s="1"/>
  <c r="CT23" i="19"/>
  <c r="CR23" i="19"/>
  <c r="CQ23" i="19"/>
  <c r="CT22" i="19"/>
  <c r="CR22" i="19"/>
  <c r="CQ22" i="19"/>
  <c r="CS22" i="19" s="1"/>
  <c r="CT21" i="19"/>
  <c r="CR21" i="19"/>
  <c r="CQ21" i="19"/>
  <c r="CT20" i="19"/>
  <c r="CR20" i="19"/>
  <c r="CQ20" i="19"/>
  <c r="CT19" i="19"/>
  <c r="CR19" i="19"/>
  <c r="CQ19" i="19"/>
  <c r="CT18" i="19"/>
  <c r="CR18" i="19"/>
  <c r="CQ18" i="19"/>
  <c r="CT17" i="19"/>
  <c r="CR17" i="19"/>
  <c r="CQ17" i="19"/>
  <c r="CT16" i="19"/>
  <c r="CR16" i="19"/>
  <c r="CQ16" i="19"/>
  <c r="CS16" i="19" s="1"/>
  <c r="CT15" i="19"/>
  <c r="CR15" i="19"/>
  <c r="CQ15" i="19"/>
  <c r="CT14" i="19"/>
  <c r="CR14" i="19"/>
  <c r="CQ14" i="19"/>
  <c r="CS14" i="19" s="1"/>
  <c r="CT13" i="19"/>
  <c r="CR13" i="19"/>
  <c r="CQ13" i="19"/>
  <c r="CT12" i="19"/>
  <c r="CR12" i="19"/>
  <c r="CQ12" i="19"/>
  <c r="CT11" i="19"/>
  <c r="CR11" i="19"/>
  <c r="CQ11" i="19"/>
  <c r="CT10" i="19"/>
  <c r="CR10" i="19"/>
  <c r="CQ10" i="19"/>
  <c r="CO63" i="19"/>
  <c r="CM63" i="19"/>
  <c r="CL63" i="19"/>
  <c r="CN63" i="19" s="1"/>
  <c r="CO62" i="19"/>
  <c r="CM62" i="19"/>
  <c r="CL62" i="19"/>
  <c r="CO61" i="19"/>
  <c r="CM61" i="19"/>
  <c r="CN61" i="19" s="1"/>
  <c r="CL61" i="19"/>
  <c r="CO60" i="19"/>
  <c r="CM60" i="19"/>
  <c r="CL60" i="19"/>
  <c r="CO59" i="19"/>
  <c r="CM59" i="19"/>
  <c r="CL59" i="19"/>
  <c r="CO58" i="19"/>
  <c r="CM58" i="19"/>
  <c r="CL58" i="19"/>
  <c r="CO57" i="19"/>
  <c r="CM57" i="19"/>
  <c r="CL57" i="19"/>
  <c r="CN57" i="19" s="1"/>
  <c r="CO56" i="19"/>
  <c r="CM56" i="19"/>
  <c r="CL56" i="19"/>
  <c r="CO55" i="19"/>
  <c r="CM55" i="19"/>
  <c r="CL55" i="19"/>
  <c r="CO54" i="19"/>
  <c r="CM54" i="19"/>
  <c r="CL54" i="19"/>
  <c r="CO53" i="19"/>
  <c r="CM53" i="19"/>
  <c r="CL53" i="19"/>
  <c r="CO52" i="19"/>
  <c r="CM52" i="19"/>
  <c r="CL52" i="19"/>
  <c r="CO51" i="19"/>
  <c r="CM51" i="19"/>
  <c r="CL51" i="19"/>
  <c r="CN51" i="19" s="1"/>
  <c r="CO50" i="19"/>
  <c r="CM50" i="19"/>
  <c r="CL50" i="19"/>
  <c r="CO49" i="19"/>
  <c r="CM49" i="19"/>
  <c r="CN49" i="19" s="1"/>
  <c r="CL49" i="19"/>
  <c r="CO48" i="19"/>
  <c r="CM48" i="19"/>
  <c r="CL48" i="19"/>
  <c r="CO47" i="19"/>
  <c r="CM47" i="19"/>
  <c r="CL47" i="19"/>
  <c r="CO46" i="19"/>
  <c r="CM46" i="19"/>
  <c r="CL46" i="19"/>
  <c r="CO45" i="19"/>
  <c r="CM45" i="19"/>
  <c r="CL45" i="19"/>
  <c r="CN45" i="19" s="1"/>
  <c r="CO44" i="19"/>
  <c r="CM44" i="19"/>
  <c r="CL44" i="19"/>
  <c r="CN44" i="19" s="1"/>
  <c r="CO43" i="19"/>
  <c r="CM43" i="19"/>
  <c r="CL43" i="19"/>
  <c r="CO42" i="19"/>
  <c r="CM42" i="19"/>
  <c r="CL42" i="19"/>
  <c r="CO41" i="19"/>
  <c r="CM41" i="19"/>
  <c r="CL41" i="19"/>
  <c r="CO40" i="19"/>
  <c r="CM40" i="19"/>
  <c r="CL40" i="19"/>
  <c r="CO39" i="19"/>
  <c r="CM39" i="19"/>
  <c r="CL39" i="19"/>
  <c r="CN39" i="19" s="1"/>
  <c r="CO38" i="19"/>
  <c r="CM38" i="19"/>
  <c r="CL38" i="19"/>
  <c r="CO37" i="19"/>
  <c r="CM37" i="19"/>
  <c r="CN37" i="19" s="1"/>
  <c r="CL37" i="19"/>
  <c r="CO36" i="19"/>
  <c r="CM36" i="19"/>
  <c r="CL36" i="19"/>
  <c r="CO35" i="19"/>
  <c r="CM35" i="19"/>
  <c r="CL35" i="19"/>
  <c r="CO34" i="19"/>
  <c r="CM34" i="19"/>
  <c r="CL34" i="19"/>
  <c r="CO33" i="19"/>
  <c r="CM33" i="19"/>
  <c r="CL33" i="19"/>
  <c r="CN33" i="19" s="1"/>
  <c r="CO32" i="19"/>
  <c r="CM32" i="19"/>
  <c r="CL32" i="19"/>
  <c r="CN32" i="19" s="1"/>
  <c r="CO31" i="19"/>
  <c r="CM31" i="19"/>
  <c r="CL31" i="19"/>
  <c r="CN31" i="19" s="1"/>
  <c r="CO30" i="19"/>
  <c r="CM30" i="19"/>
  <c r="CL30" i="19"/>
  <c r="CO29" i="19"/>
  <c r="CM29" i="19"/>
  <c r="CL29" i="19"/>
  <c r="CO28" i="19"/>
  <c r="CM28" i="19"/>
  <c r="CL28" i="19"/>
  <c r="CO27" i="19"/>
  <c r="CM27" i="19"/>
  <c r="CL27" i="19"/>
  <c r="CO26" i="19"/>
  <c r="CM26" i="19"/>
  <c r="CL26" i="19"/>
  <c r="CO25" i="19"/>
  <c r="CM25" i="19"/>
  <c r="CL25" i="19"/>
  <c r="CO24" i="19"/>
  <c r="CM24" i="19"/>
  <c r="CL24" i="19"/>
  <c r="CN24" i="19" s="1"/>
  <c r="CO23" i="19"/>
  <c r="CM23" i="19"/>
  <c r="CL23" i="19"/>
  <c r="CO22" i="19"/>
  <c r="CM22" i="19"/>
  <c r="CL22" i="19"/>
  <c r="CO21" i="19"/>
  <c r="CM21" i="19"/>
  <c r="CL21" i="19"/>
  <c r="CO20" i="19"/>
  <c r="CM20" i="19"/>
  <c r="CL20" i="19"/>
  <c r="CN20" i="19" s="1"/>
  <c r="CO19" i="19"/>
  <c r="CM19" i="19"/>
  <c r="CL19" i="19"/>
  <c r="CN19" i="19" s="1"/>
  <c r="CO18" i="19"/>
  <c r="CM18" i="19"/>
  <c r="CL18" i="19"/>
  <c r="CO17" i="19"/>
  <c r="CM17" i="19"/>
  <c r="CL17" i="19"/>
  <c r="CO16" i="19"/>
  <c r="CM16" i="19"/>
  <c r="CL16" i="19"/>
  <c r="CO15" i="19"/>
  <c r="CM15" i="19"/>
  <c r="CL15" i="19"/>
  <c r="CN15" i="19" s="1"/>
  <c r="CO14" i="19"/>
  <c r="CM14" i="19"/>
  <c r="CL14" i="19"/>
  <c r="CO13" i="19"/>
  <c r="CM13" i="19"/>
  <c r="CL13" i="19"/>
  <c r="CN13" i="19" s="1"/>
  <c r="CO12" i="19"/>
  <c r="CM12" i="19"/>
  <c r="CL12" i="19"/>
  <c r="CO11" i="19"/>
  <c r="CM11" i="19"/>
  <c r="CL11" i="19"/>
  <c r="CN11" i="19" s="1"/>
  <c r="CO10" i="19"/>
  <c r="CM10" i="19"/>
  <c r="CL10" i="19"/>
  <c r="CJ63" i="19"/>
  <c r="CH63" i="19"/>
  <c r="CG63" i="19"/>
  <c r="CI63" i="19" s="1"/>
  <c r="CJ62" i="19"/>
  <c r="CH62" i="19"/>
  <c r="CG62" i="19"/>
  <c r="CJ61" i="19"/>
  <c r="CH61" i="19"/>
  <c r="CG61" i="19"/>
  <c r="CJ60" i="19"/>
  <c r="CH60" i="19"/>
  <c r="CG60" i="19"/>
  <c r="CJ59" i="19"/>
  <c r="CH59" i="19"/>
  <c r="CG59" i="19"/>
  <c r="CI59" i="19" s="1"/>
  <c r="CJ58" i="19"/>
  <c r="CH58" i="19"/>
  <c r="CG58" i="19"/>
  <c r="CJ57" i="19"/>
  <c r="CH57" i="19"/>
  <c r="CG57" i="19"/>
  <c r="CJ56" i="19"/>
  <c r="CH56" i="19"/>
  <c r="CG56" i="19"/>
  <c r="CJ55" i="19"/>
  <c r="CH55" i="19"/>
  <c r="CG55" i="19"/>
  <c r="CJ54" i="19"/>
  <c r="CH54" i="19"/>
  <c r="CG54" i="19"/>
  <c r="CJ53" i="19"/>
  <c r="CH53" i="19"/>
  <c r="CG53" i="19"/>
  <c r="CJ52" i="19"/>
  <c r="CH52" i="19"/>
  <c r="CG52" i="19"/>
  <c r="CJ51" i="19"/>
  <c r="CH51" i="19"/>
  <c r="CG51" i="19"/>
  <c r="CI51" i="19" s="1"/>
  <c r="CJ50" i="19"/>
  <c r="CH50" i="19"/>
  <c r="CG50" i="19"/>
  <c r="CJ49" i="19"/>
  <c r="CH49" i="19"/>
  <c r="CG49" i="19"/>
  <c r="CJ48" i="19"/>
  <c r="CH48" i="19"/>
  <c r="CG48" i="19"/>
  <c r="CJ47" i="19"/>
  <c r="CH47" i="19"/>
  <c r="CG47" i="19"/>
  <c r="CI47" i="19" s="1"/>
  <c r="CJ46" i="19"/>
  <c r="CH46" i="19"/>
  <c r="CG46" i="19"/>
  <c r="CJ45" i="19"/>
  <c r="CH45" i="19"/>
  <c r="CG45" i="19"/>
  <c r="CJ44" i="19"/>
  <c r="CH44" i="19"/>
  <c r="CG44" i="19"/>
  <c r="CJ43" i="19"/>
  <c r="CH43" i="19"/>
  <c r="CG43" i="19"/>
  <c r="CI43" i="19" s="1"/>
  <c r="CJ42" i="19"/>
  <c r="CH42" i="19"/>
  <c r="CG42" i="19"/>
  <c r="CJ41" i="19"/>
  <c r="CH41" i="19"/>
  <c r="CG41" i="19"/>
  <c r="CI41" i="19" s="1"/>
  <c r="CJ40" i="19"/>
  <c r="CH40" i="19"/>
  <c r="CG40" i="19"/>
  <c r="CJ39" i="19"/>
  <c r="CH39" i="19"/>
  <c r="CG39" i="19"/>
  <c r="CI39" i="19" s="1"/>
  <c r="CJ38" i="19"/>
  <c r="CH38" i="19"/>
  <c r="CG38" i="19"/>
  <c r="CJ37" i="19"/>
  <c r="CH37" i="19"/>
  <c r="CG37" i="19"/>
  <c r="CJ36" i="19"/>
  <c r="CH36" i="19"/>
  <c r="CG36" i="19"/>
  <c r="CJ35" i="19"/>
  <c r="CH35" i="19"/>
  <c r="CG35" i="19"/>
  <c r="CI35" i="19" s="1"/>
  <c r="CJ34" i="19"/>
  <c r="CH34" i="19"/>
  <c r="CG34" i="19"/>
  <c r="CJ33" i="19"/>
  <c r="CH33" i="19"/>
  <c r="CG33" i="19"/>
  <c r="CI33" i="19" s="1"/>
  <c r="CJ32" i="19"/>
  <c r="CH32" i="19"/>
  <c r="CG32" i="19"/>
  <c r="CJ31" i="19"/>
  <c r="CH31" i="19"/>
  <c r="CG31" i="19"/>
  <c r="CJ30" i="19"/>
  <c r="CH30" i="19"/>
  <c r="CG30" i="19"/>
  <c r="CJ29" i="19"/>
  <c r="CH29" i="19"/>
  <c r="CG29" i="19"/>
  <c r="CJ28" i="19"/>
  <c r="CH28" i="19"/>
  <c r="CG28" i="19"/>
  <c r="CJ27" i="19"/>
  <c r="CH27" i="19"/>
  <c r="CG27" i="19"/>
  <c r="CJ26" i="19"/>
  <c r="CH26" i="19"/>
  <c r="CG26" i="19"/>
  <c r="CJ25" i="19"/>
  <c r="CH25" i="19"/>
  <c r="CG25" i="19"/>
  <c r="CJ24" i="19"/>
  <c r="CH24" i="19"/>
  <c r="CG24" i="19"/>
  <c r="CJ23" i="19"/>
  <c r="CH23" i="19"/>
  <c r="CG23" i="19"/>
  <c r="CJ22" i="19"/>
  <c r="CH22" i="19"/>
  <c r="CG22" i="19"/>
  <c r="CJ21" i="19"/>
  <c r="CH21" i="19"/>
  <c r="CG21" i="19"/>
  <c r="CJ20" i="19"/>
  <c r="CH20" i="19"/>
  <c r="CG20" i="19"/>
  <c r="CJ19" i="19"/>
  <c r="CH19" i="19"/>
  <c r="CG19" i="19"/>
  <c r="CJ18" i="19"/>
  <c r="CH18" i="19"/>
  <c r="CG18" i="19"/>
  <c r="CJ17" i="19"/>
  <c r="CH17" i="19"/>
  <c r="CG17" i="19"/>
  <c r="CJ16" i="19"/>
  <c r="CH16" i="19"/>
  <c r="CG16" i="19"/>
  <c r="CJ15" i="19"/>
  <c r="CH15" i="19"/>
  <c r="CG15" i="19"/>
  <c r="CI15" i="19" s="1"/>
  <c r="CJ14" i="19"/>
  <c r="CH14" i="19"/>
  <c r="CG14" i="19"/>
  <c r="CJ13" i="19"/>
  <c r="CH13" i="19"/>
  <c r="CI13" i="19" s="1"/>
  <c r="CG13" i="19"/>
  <c r="CJ12" i="19"/>
  <c r="CH12" i="19"/>
  <c r="CG12" i="19"/>
  <c r="CJ11" i="19"/>
  <c r="CH11" i="19"/>
  <c r="CG11" i="19"/>
  <c r="CI11" i="19" s="1"/>
  <c r="CJ10" i="19"/>
  <c r="CH10" i="19"/>
  <c r="CG10" i="19"/>
  <c r="CE63" i="19"/>
  <c r="CC63" i="19"/>
  <c r="CB63" i="19"/>
  <c r="CE62" i="19"/>
  <c r="CC62" i="19"/>
  <c r="CB62" i="19"/>
  <c r="CD62" i="19" s="1"/>
  <c r="CE61" i="19"/>
  <c r="CC61" i="19"/>
  <c r="CB61" i="19"/>
  <c r="CD61" i="19" s="1"/>
  <c r="CE60" i="19"/>
  <c r="CC60" i="19"/>
  <c r="CD60" i="19" s="1"/>
  <c r="CB60" i="19"/>
  <c r="CE59" i="19"/>
  <c r="CC59" i="19"/>
  <c r="CB59" i="19"/>
  <c r="CE58" i="19"/>
  <c r="CC58" i="19"/>
  <c r="CB58" i="19"/>
  <c r="CE57" i="19"/>
  <c r="CC57" i="19"/>
  <c r="CB57" i="19"/>
  <c r="CE56" i="19"/>
  <c r="CC56" i="19"/>
  <c r="CB56" i="19"/>
  <c r="CE55" i="19"/>
  <c r="CC55" i="19"/>
  <c r="CB55" i="19"/>
  <c r="CE54" i="19"/>
  <c r="CC54" i="19"/>
  <c r="CB54" i="19"/>
  <c r="CE53" i="19"/>
  <c r="CC53" i="19"/>
  <c r="CB53" i="19"/>
  <c r="CE52" i="19"/>
  <c r="CC52" i="19"/>
  <c r="CB52" i="19"/>
  <c r="CE51" i="19"/>
  <c r="CD51" i="19"/>
  <c r="CC51" i="19"/>
  <c r="CB51" i="19"/>
  <c r="CE50" i="19"/>
  <c r="CC50" i="19"/>
  <c r="CB50" i="19"/>
  <c r="CE49" i="19"/>
  <c r="CC49" i="19"/>
  <c r="CD49" i="19" s="1"/>
  <c r="CB49" i="19"/>
  <c r="CE48" i="19"/>
  <c r="CC48" i="19"/>
  <c r="CB48" i="19"/>
  <c r="CE47" i="19"/>
  <c r="CC47" i="19"/>
  <c r="CB47" i="19"/>
  <c r="CE46" i="19"/>
  <c r="CC46" i="19"/>
  <c r="CB46" i="19"/>
  <c r="CE45" i="19"/>
  <c r="CC45" i="19"/>
  <c r="CB45" i="19"/>
  <c r="CE44" i="19"/>
  <c r="CC44" i="19"/>
  <c r="CB44" i="19"/>
  <c r="CE43" i="19"/>
  <c r="CC43" i="19"/>
  <c r="CB43" i="19"/>
  <c r="CE42" i="19"/>
  <c r="CC42" i="19"/>
  <c r="CB42" i="19"/>
  <c r="CE41" i="19"/>
  <c r="CC41" i="19"/>
  <c r="CD41" i="19" s="1"/>
  <c r="CB41" i="19"/>
  <c r="CE40" i="19"/>
  <c r="CC40" i="19"/>
  <c r="CB40" i="19"/>
  <c r="CD40" i="19" s="1"/>
  <c r="CE39" i="19"/>
  <c r="CC39" i="19"/>
  <c r="CB39" i="19"/>
  <c r="CE38" i="19"/>
  <c r="CC38" i="19"/>
  <c r="CB38" i="19"/>
  <c r="CE37" i="19"/>
  <c r="CC37" i="19"/>
  <c r="CB37" i="19"/>
  <c r="CE36" i="19"/>
  <c r="CC36" i="19"/>
  <c r="CB36" i="19"/>
  <c r="CE35" i="19"/>
  <c r="CC35" i="19"/>
  <c r="CB35" i="19"/>
  <c r="CE34" i="19"/>
  <c r="CC34" i="19"/>
  <c r="CB34" i="19"/>
  <c r="CE33" i="19"/>
  <c r="CC33" i="19"/>
  <c r="CB33" i="19"/>
  <c r="CE32" i="19"/>
  <c r="CC32" i="19"/>
  <c r="CB32" i="19"/>
  <c r="CE31" i="19"/>
  <c r="CC31" i="19"/>
  <c r="CB31" i="19"/>
  <c r="CD31" i="19" s="1"/>
  <c r="CE30" i="19"/>
  <c r="CC30" i="19"/>
  <c r="CB30" i="19"/>
  <c r="CE29" i="19"/>
  <c r="CC29" i="19"/>
  <c r="CB29" i="19"/>
  <c r="CD29" i="19" s="1"/>
  <c r="CE28" i="19"/>
  <c r="CC28" i="19"/>
  <c r="CB28" i="19"/>
  <c r="CE27" i="19"/>
  <c r="CC27" i="19"/>
  <c r="CB27" i="19"/>
  <c r="CE26" i="19"/>
  <c r="CC26" i="19"/>
  <c r="CB26" i="19"/>
  <c r="CE25" i="19"/>
  <c r="CC25" i="19"/>
  <c r="CB25" i="19"/>
  <c r="CE24" i="19"/>
  <c r="CC24" i="19"/>
  <c r="CB24" i="19"/>
  <c r="CE23" i="19"/>
  <c r="CC23" i="19"/>
  <c r="CB23" i="19"/>
  <c r="CE22" i="19"/>
  <c r="CC22" i="19"/>
  <c r="CB22" i="19"/>
  <c r="CE21" i="19"/>
  <c r="CC21" i="19"/>
  <c r="CB21" i="19"/>
  <c r="CD21" i="19" s="1"/>
  <c r="CE20" i="19"/>
  <c r="CC20" i="19"/>
  <c r="CB20" i="19"/>
  <c r="CE19" i="19"/>
  <c r="CC19" i="19"/>
  <c r="CD19" i="19" s="1"/>
  <c r="CB19" i="19"/>
  <c r="CE18" i="19"/>
  <c r="CC18" i="19"/>
  <c r="CB18" i="19"/>
  <c r="CE17" i="19"/>
  <c r="CC17" i="19"/>
  <c r="CB17" i="19"/>
  <c r="CE16" i="19"/>
  <c r="CC16" i="19"/>
  <c r="CB16" i="19"/>
  <c r="CE15" i="19"/>
  <c r="CC15" i="19"/>
  <c r="CD15" i="19" s="1"/>
  <c r="CB15" i="19"/>
  <c r="CE14" i="19"/>
  <c r="CC14" i="19"/>
  <c r="CB14" i="19"/>
  <c r="CE13" i="19"/>
  <c r="CC13" i="19"/>
  <c r="CB13" i="19"/>
  <c r="CE12" i="19"/>
  <c r="CC12" i="19"/>
  <c r="CB12" i="19"/>
  <c r="CE11" i="19"/>
  <c r="CC11" i="19"/>
  <c r="CB11" i="19"/>
  <c r="CE10" i="19"/>
  <c r="CC10" i="19"/>
  <c r="CB10" i="19"/>
  <c r="BZ63" i="19"/>
  <c r="BX63" i="19"/>
  <c r="BW63" i="19"/>
  <c r="BZ62" i="19"/>
  <c r="BX62" i="19"/>
  <c r="BW62" i="19"/>
  <c r="BZ61" i="19"/>
  <c r="BX61" i="19"/>
  <c r="BW61" i="19"/>
  <c r="BZ60" i="19"/>
  <c r="BX60" i="19"/>
  <c r="BW60" i="19"/>
  <c r="BZ59" i="19"/>
  <c r="BX59" i="19"/>
  <c r="BW59" i="19"/>
  <c r="BZ58" i="19"/>
  <c r="BX58" i="19"/>
  <c r="BW58" i="19"/>
  <c r="BZ57" i="19"/>
  <c r="BX57" i="19"/>
  <c r="BW57" i="19"/>
  <c r="BZ56" i="19"/>
  <c r="BY56" i="19"/>
  <c r="BX56" i="19"/>
  <c r="BW56" i="19"/>
  <c r="BZ55" i="19"/>
  <c r="BX55" i="19"/>
  <c r="BW55" i="19"/>
  <c r="BY55" i="19" s="1"/>
  <c r="BZ54" i="19"/>
  <c r="BX54" i="19"/>
  <c r="BW54" i="19"/>
  <c r="BZ53" i="19"/>
  <c r="BX53" i="19"/>
  <c r="BW53" i="19"/>
  <c r="BY53" i="19" s="1"/>
  <c r="BZ52" i="19"/>
  <c r="BX52" i="19"/>
  <c r="BW52" i="19"/>
  <c r="BZ51" i="19"/>
  <c r="BX51" i="19"/>
  <c r="BW51" i="19"/>
  <c r="BZ50" i="19"/>
  <c r="BX50" i="19"/>
  <c r="BW50" i="19"/>
  <c r="BZ49" i="19"/>
  <c r="BX49" i="19"/>
  <c r="BW49" i="19"/>
  <c r="BZ48" i="19"/>
  <c r="BX48" i="19"/>
  <c r="BW48" i="19"/>
  <c r="BZ47" i="19"/>
  <c r="BX47" i="19"/>
  <c r="BW47" i="19"/>
  <c r="BZ46" i="19"/>
  <c r="BX46" i="19"/>
  <c r="BW46" i="19"/>
  <c r="BZ45" i="19"/>
  <c r="BX45" i="19"/>
  <c r="BW45" i="19"/>
  <c r="BY45" i="19" s="1"/>
  <c r="BZ44" i="19"/>
  <c r="BX44" i="19"/>
  <c r="BW44" i="19"/>
  <c r="BZ43" i="19"/>
  <c r="BX43" i="19"/>
  <c r="BW43" i="19"/>
  <c r="BZ42" i="19"/>
  <c r="BX42" i="19"/>
  <c r="BW42" i="19"/>
  <c r="BZ41" i="19"/>
  <c r="BX41" i="19"/>
  <c r="BW41" i="19"/>
  <c r="BZ40" i="19"/>
  <c r="BX40" i="19"/>
  <c r="BW40" i="19"/>
  <c r="BZ39" i="19"/>
  <c r="BX39" i="19"/>
  <c r="BW39" i="19"/>
  <c r="BZ38" i="19"/>
  <c r="BX38" i="19"/>
  <c r="BW38" i="19"/>
  <c r="BZ37" i="19"/>
  <c r="BX37" i="19"/>
  <c r="BW37" i="19"/>
  <c r="BY37" i="19" s="1"/>
  <c r="BZ36" i="19"/>
  <c r="BX36" i="19"/>
  <c r="BW36" i="19"/>
  <c r="BZ35" i="19"/>
  <c r="BX35" i="19"/>
  <c r="BW35" i="19"/>
  <c r="BZ34" i="19"/>
  <c r="BX34" i="19"/>
  <c r="BW34" i="19"/>
  <c r="BZ33" i="19"/>
  <c r="BX33" i="19"/>
  <c r="BW33" i="19"/>
  <c r="BZ32" i="19"/>
  <c r="BX32" i="19"/>
  <c r="BW32" i="19"/>
  <c r="BZ31" i="19"/>
  <c r="BX31" i="19"/>
  <c r="BW31" i="19"/>
  <c r="BZ30" i="19"/>
  <c r="BX30" i="19"/>
  <c r="BW30" i="19"/>
  <c r="BZ29" i="19"/>
  <c r="BX29" i="19"/>
  <c r="BW29" i="19"/>
  <c r="BY29" i="19" s="1"/>
  <c r="BZ28" i="19"/>
  <c r="BX28" i="19"/>
  <c r="BW28" i="19"/>
  <c r="BZ27" i="19"/>
  <c r="BX27" i="19"/>
  <c r="BW27" i="19"/>
  <c r="BZ26" i="19"/>
  <c r="BX26" i="19"/>
  <c r="BW26" i="19"/>
  <c r="BZ25" i="19"/>
  <c r="BX25" i="19"/>
  <c r="BW25" i="19"/>
  <c r="BZ24" i="19"/>
  <c r="BX24" i="19"/>
  <c r="BW24" i="19"/>
  <c r="BZ23" i="19"/>
  <c r="BX23" i="19"/>
  <c r="BW23" i="19"/>
  <c r="BZ22" i="19"/>
  <c r="BX22" i="19"/>
  <c r="BW22" i="19"/>
  <c r="BY22" i="19" s="1"/>
  <c r="BZ21" i="19"/>
  <c r="BX21" i="19"/>
  <c r="BW21" i="19"/>
  <c r="BY21" i="19" s="1"/>
  <c r="BZ20" i="19"/>
  <c r="BX20" i="19"/>
  <c r="BW20" i="19"/>
  <c r="BZ19" i="19"/>
  <c r="BX19" i="19"/>
  <c r="BW19" i="19"/>
  <c r="BZ18" i="19"/>
  <c r="BX18" i="19"/>
  <c r="BW18" i="19"/>
  <c r="BZ17" i="19"/>
  <c r="BX17" i="19"/>
  <c r="BW17" i="19"/>
  <c r="BZ16" i="19"/>
  <c r="BX16" i="19"/>
  <c r="BW16" i="19"/>
  <c r="BZ15" i="19"/>
  <c r="BX15" i="19"/>
  <c r="BW15" i="19"/>
  <c r="BZ14" i="19"/>
  <c r="BX14" i="19"/>
  <c r="BW14" i="19"/>
  <c r="BY14" i="19" s="1"/>
  <c r="BZ13" i="19"/>
  <c r="BX13" i="19"/>
  <c r="BW13" i="19"/>
  <c r="BY13" i="19" s="1"/>
  <c r="BZ12" i="19"/>
  <c r="BX12" i="19"/>
  <c r="BW12" i="19"/>
  <c r="BZ11" i="19"/>
  <c r="BX11" i="19"/>
  <c r="BW11" i="19"/>
  <c r="BZ10" i="19"/>
  <c r="BX10" i="19"/>
  <c r="BW10" i="19"/>
  <c r="BU63" i="19"/>
  <c r="BS63" i="19"/>
  <c r="BR63" i="19"/>
  <c r="BT63" i="19" s="1"/>
  <c r="BU62" i="19"/>
  <c r="BS62" i="19"/>
  <c r="BR62" i="19"/>
  <c r="BU61" i="19"/>
  <c r="BS61" i="19"/>
  <c r="BR61" i="19"/>
  <c r="BT61" i="19" s="1"/>
  <c r="BU60" i="19"/>
  <c r="BS60" i="19"/>
  <c r="BR60" i="19"/>
  <c r="BU59" i="19"/>
  <c r="BS59" i="19"/>
  <c r="BR59" i="19"/>
  <c r="BU58" i="19"/>
  <c r="BS58" i="19"/>
  <c r="BR58" i="19"/>
  <c r="BU57" i="19"/>
  <c r="BS57" i="19"/>
  <c r="BR57" i="19"/>
  <c r="BT57" i="19" s="1"/>
  <c r="BU56" i="19"/>
  <c r="BS56" i="19"/>
  <c r="BR56" i="19"/>
  <c r="BT56" i="19" s="1"/>
  <c r="BU55" i="19"/>
  <c r="BS55" i="19"/>
  <c r="BR55" i="19"/>
  <c r="BT55" i="19" s="1"/>
  <c r="BU54" i="19"/>
  <c r="BS54" i="19"/>
  <c r="BR54" i="19"/>
  <c r="BU53" i="19"/>
  <c r="BS53" i="19"/>
  <c r="BR53" i="19"/>
  <c r="BU52" i="19"/>
  <c r="BS52" i="19"/>
  <c r="BR52" i="19"/>
  <c r="BT52" i="19" s="1"/>
  <c r="BU51" i="19"/>
  <c r="BS51" i="19"/>
  <c r="BR51" i="19"/>
  <c r="BT51" i="19" s="1"/>
  <c r="BU50" i="19"/>
  <c r="BS50" i="19"/>
  <c r="BR50" i="19"/>
  <c r="BU49" i="19"/>
  <c r="BS49" i="19"/>
  <c r="BR49" i="19"/>
  <c r="BU48" i="19"/>
  <c r="BS48" i="19"/>
  <c r="BR48" i="19"/>
  <c r="BU47" i="19"/>
  <c r="BS47" i="19"/>
  <c r="BR47" i="19"/>
  <c r="BT47" i="19" s="1"/>
  <c r="BU46" i="19"/>
  <c r="BS46" i="19"/>
  <c r="BR46" i="19"/>
  <c r="BU45" i="19"/>
  <c r="BS45" i="19"/>
  <c r="BR45" i="19"/>
  <c r="BU44" i="19"/>
  <c r="BS44" i="19"/>
  <c r="BR44" i="19"/>
  <c r="BU43" i="19"/>
  <c r="BS43" i="19"/>
  <c r="BR43" i="19"/>
  <c r="BU42" i="19"/>
  <c r="BS42" i="19"/>
  <c r="BR42" i="19"/>
  <c r="BU41" i="19"/>
  <c r="BT41" i="19"/>
  <c r="BS41" i="19"/>
  <c r="BR41" i="19"/>
  <c r="BU40" i="19"/>
  <c r="BS40" i="19"/>
  <c r="BR40" i="19"/>
  <c r="BU39" i="19"/>
  <c r="BT39" i="19"/>
  <c r="BS39" i="19"/>
  <c r="BR39" i="19"/>
  <c r="BU38" i="19"/>
  <c r="BS38" i="19"/>
  <c r="BR38" i="19"/>
  <c r="BU37" i="19"/>
  <c r="BS37" i="19"/>
  <c r="BR37" i="19"/>
  <c r="BU36" i="19"/>
  <c r="BS36" i="19"/>
  <c r="BR36" i="19"/>
  <c r="BT36" i="19" s="1"/>
  <c r="BU35" i="19"/>
  <c r="BT35" i="19"/>
  <c r="BS35" i="19"/>
  <c r="BR35" i="19"/>
  <c r="BU34" i="19"/>
  <c r="BS34" i="19"/>
  <c r="BR34" i="19"/>
  <c r="BU33" i="19"/>
  <c r="BS33" i="19"/>
  <c r="BR33" i="19"/>
  <c r="BT33" i="19" s="1"/>
  <c r="BU32" i="19"/>
  <c r="BS32" i="19"/>
  <c r="BR32" i="19"/>
  <c r="BU31" i="19"/>
  <c r="BS31" i="19"/>
  <c r="BR31" i="19"/>
  <c r="BT31" i="19" s="1"/>
  <c r="BU30" i="19"/>
  <c r="BS30" i="19"/>
  <c r="BR30" i="19"/>
  <c r="BU29" i="19"/>
  <c r="BS29" i="19"/>
  <c r="BR29" i="19"/>
  <c r="BU28" i="19"/>
  <c r="BS28" i="19"/>
  <c r="BR28" i="19"/>
  <c r="BU27" i="19"/>
  <c r="BS27" i="19"/>
  <c r="BR27" i="19"/>
  <c r="BU26" i="19"/>
  <c r="BS26" i="19"/>
  <c r="BR26" i="19"/>
  <c r="BU25" i="19"/>
  <c r="BS25" i="19"/>
  <c r="BR25" i="19"/>
  <c r="BT25" i="19" s="1"/>
  <c r="BU24" i="19"/>
  <c r="BS24" i="19"/>
  <c r="BR24" i="19"/>
  <c r="BT24" i="19" s="1"/>
  <c r="BU23" i="19"/>
  <c r="BS23" i="19"/>
  <c r="BR23" i="19"/>
  <c r="BT23" i="19" s="1"/>
  <c r="BU22" i="19"/>
  <c r="BS22" i="19"/>
  <c r="BR22" i="19"/>
  <c r="BU21" i="19"/>
  <c r="BS21" i="19"/>
  <c r="BT21" i="19" s="1"/>
  <c r="BR21" i="19"/>
  <c r="BU20" i="19"/>
  <c r="BS20" i="19"/>
  <c r="BR20" i="19"/>
  <c r="BU19" i="19"/>
  <c r="BS19" i="19"/>
  <c r="BR19" i="19"/>
  <c r="BT19" i="19" s="1"/>
  <c r="BU18" i="19"/>
  <c r="BS18" i="19"/>
  <c r="BR18" i="19"/>
  <c r="BT18" i="19" s="1"/>
  <c r="BU17" i="19"/>
  <c r="BS17" i="19"/>
  <c r="BR17" i="19"/>
  <c r="BU16" i="19"/>
  <c r="BS16" i="19"/>
  <c r="BR16" i="19"/>
  <c r="BU15" i="19"/>
  <c r="BS15" i="19"/>
  <c r="BR15" i="19"/>
  <c r="BU14" i="19"/>
  <c r="BS14" i="19"/>
  <c r="BR14" i="19"/>
  <c r="BU13" i="19"/>
  <c r="BT13" i="19"/>
  <c r="BS13" i="19"/>
  <c r="BR13" i="19"/>
  <c r="BU12" i="19"/>
  <c r="BS12" i="19"/>
  <c r="BR12" i="19"/>
  <c r="BU11" i="19"/>
  <c r="BS11" i="19"/>
  <c r="BR11" i="19"/>
  <c r="BU10" i="19"/>
  <c r="BS10" i="19"/>
  <c r="BR10" i="19"/>
  <c r="BP63" i="19"/>
  <c r="BN63" i="19"/>
  <c r="BM63" i="19"/>
  <c r="BP62" i="19"/>
  <c r="BN62" i="19"/>
  <c r="BM62" i="19"/>
  <c r="BP61" i="19"/>
  <c r="BN61" i="19"/>
  <c r="BO61" i="19" s="1"/>
  <c r="BM61" i="19"/>
  <c r="BP60" i="19"/>
  <c r="BN60" i="19"/>
  <c r="BM60" i="19"/>
  <c r="BP59" i="19"/>
  <c r="BN59" i="19"/>
  <c r="BM59" i="19"/>
  <c r="BO59" i="19" s="1"/>
  <c r="BP58" i="19"/>
  <c r="BN58" i="19"/>
  <c r="BM58" i="19"/>
  <c r="BP57" i="19"/>
  <c r="BN57" i="19"/>
  <c r="BM57" i="19"/>
  <c r="BP56" i="19"/>
  <c r="BN56" i="19"/>
  <c r="BM56" i="19"/>
  <c r="BP55" i="19"/>
  <c r="BN55" i="19"/>
  <c r="BM55" i="19"/>
  <c r="BP54" i="19"/>
  <c r="BN54" i="19"/>
  <c r="BM54" i="19"/>
  <c r="BP53" i="19"/>
  <c r="BN53" i="19"/>
  <c r="BM53" i="19"/>
  <c r="BO53" i="19" s="1"/>
  <c r="BP52" i="19"/>
  <c r="BN52" i="19"/>
  <c r="BM52" i="19"/>
  <c r="BP51" i="19"/>
  <c r="BN51" i="19"/>
  <c r="BM51" i="19"/>
  <c r="BP50" i="19"/>
  <c r="BN50" i="19"/>
  <c r="BM50" i="19"/>
  <c r="BP49" i="19"/>
  <c r="BN49" i="19"/>
  <c r="BM49" i="19"/>
  <c r="BP48" i="19"/>
  <c r="BN48" i="19"/>
  <c r="BM48" i="19"/>
  <c r="BO48" i="19" s="1"/>
  <c r="BP47" i="19"/>
  <c r="BN47" i="19"/>
  <c r="BM47" i="19"/>
  <c r="BO47" i="19" s="1"/>
  <c r="BP46" i="19"/>
  <c r="BN46" i="19"/>
  <c r="BM46" i="19"/>
  <c r="BP45" i="19"/>
  <c r="BN45" i="19"/>
  <c r="BM45" i="19"/>
  <c r="BP44" i="19"/>
  <c r="BN44" i="19"/>
  <c r="BM44" i="19"/>
  <c r="BP43" i="19"/>
  <c r="BN43" i="19"/>
  <c r="BM43" i="19"/>
  <c r="BO43" i="19" s="1"/>
  <c r="BP42" i="19"/>
  <c r="BN42" i="19"/>
  <c r="BM42" i="19"/>
  <c r="BP41" i="19"/>
  <c r="BN41" i="19"/>
  <c r="BM41" i="19"/>
  <c r="BP40" i="19"/>
  <c r="BN40" i="19"/>
  <c r="BM40" i="19"/>
  <c r="BP39" i="19"/>
  <c r="BN39" i="19"/>
  <c r="BM39" i="19"/>
  <c r="BP38" i="19"/>
  <c r="BN38" i="19"/>
  <c r="BM38" i="19"/>
  <c r="BP37" i="19"/>
  <c r="BN37" i="19"/>
  <c r="BM37" i="19"/>
  <c r="BO37" i="19" s="1"/>
  <c r="BP36" i="19"/>
  <c r="BN36" i="19"/>
  <c r="BM36" i="19"/>
  <c r="BP35" i="19"/>
  <c r="BN35" i="19"/>
  <c r="BM35" i="19"/>
  <c r="BP34" i="19"/>
  <c r="BN34" i="19"/>
  <c r="BM34" i="19"/>
  <c r="BP33" i="19"/>
  <c r="BN33" i="19"/>
  <c r="BM33" i="19"/>
  <c r="BO33" i="19" s="1"/>
  <c r="BP32" i="19"/>
  <c r="BN32" i="19"/>
  <c r="BM32" i="19"/>
  <c r="BP31" i="19"/>
  <c r="BN31" i="19"/>
  <c r="BM31" i="19"/>
  <c r="BP30" i="19"/>
  <c r="BN30" i="19"/>
  <c r="BM30" i="19"/>
  <c r="BP29" i="19"/>
  <c r="BN29" i="19"/>
  <c r="BM29" i="19"/>
  <c r="BP28" i="19"/>
  <c r="BN28" i="19"/>
  <c r="BM28" i="19"/>
  <c r="BP27" i="19"/>
  <c r="BN27" i="19"/>
  <c r="BM27" i="19"/>
  <c r="BO27" i="19" s="1"/>
  <c r="BP26" i="19"/>
  <c r="BN26" i="19"/>
  <c r="BM26" i="19"/>
  <c r="BP25" i="19"/>
  <c r="BN25" i="19"/>
  <c r="BM25" i="19"/>
  <c r="BP24" i="19"/>
  <c r="BN24" i="19"/>
  <c r="BM24" i="19"/>
  <c r="BP23" i="19"/>
  <c r="BN23" i="19"/>
  <c r="BM23" i="19"/>
  <c r="BO23" i="19" s="1"/>
  <c r="BP22" i="19"/>
  <c r="BN22" i="19"/>
  <c r="BM22" i="19"/>
  <c r="BP21" i="19"/>
  <c r="BN21" i="19"/>
  <c r="BM21" i="19"/>
  <c r="BO21" i="19" s="1"/>
  <c r="BP20" i="19"/>
  <c r="BN20" i="19"/>
  <c r="BM20" i="19"/>
  <c r="BP19" i="19"/>
  <c r="BN19" i="19"/>
  <c r="BM19" i="19"/>
  <c r="BP18" i="19"/>
  <c r="BN18" i="19"/>
  <c r="BM18" i="19"/>
  <c r="BP17" i="19"/>
  <c r="BN17" i="19"/>
  <c r="BM17" i="19"/>
  <c r="BP16" i="19"/>
  <c r="BN16" i="19"/>
  <c r="BM16" i="19"/>
  <c r="BP15" i="19"/>
  <c r="BN15" i="19"/>
  <c r="BM15" i="19"/>
  <c r="BO15" i="19" s="1"/>
  <c r="BP14" i="19"/>
  <c r="BN14" i="19"/>
  <c r="BM14" i="19"/>
  <c r="BP13" i="19"/>
  <c r="BN13" i="19"/>
  <c r="BM13" i="19"/>
  <c r="BP12" i="19"/>
  <c r="BN12" i="19"/>
  <c r="BM12" i="19"/>
  <c r="BP11" i="19"/>
  <c r="BN11" i="19"/>
  <c r="BM11" i="19"/>
  <c r="BO11" i="19" s="1"/>
  <c r="BP10" i="19"/>
  <c r="BN10" i="19"/>
  <c r="BM10" i="19"/>
  <c r="BK63" i="19"/>
  <c r="BI63" i="19"/>
  <c r="BH63" i="19"/>
  <c r="BK62" i="19"/>
  <c r="BI62" i="19"/>
  <c r="BH62" i="19"/>
  <c r="BK61" i="19"/>
  <c r="BI61" i="19"/>
  <c r="BH61" i="19"/>
  <c r="BK60" i="19"/>
  <c r="BI60" i="19"/>
  <c r="BH60" i="19"/>
  <c r="BK59" i="19"/>
  <c r="BI59" i="19"/>
  <c r="BH59" i="19"/>
  <c r="BJ59" i="19" s="1"/>
  <c r="BK58" i="19"/>
  <c r="BI58" i="19"/>
  <c r="BH58" i="19"/>
  <c r="BK57" i="19"/>
  <c r="BI57" i="19"/>
  <c r="BH57" i="19"/>
  <c r="BJ57" i="19" s="1"/>
  <c r="BK56" i="19"/>
  <c r="BI56" i="19"/>
  <c r="BH56" i="19"/>
  <c r="BK55" i="19"/>
  <c r="BI55" i="19"/>
  <c r="BH55" i="19"/>
  <c r="BK54" i="19"/>
  <c r="BI54" i="19"/>
  <c r="BH54" i="19"/>
  <c r="BK53" i="19"/>
  <c r="BI53" i="19"/>
  <c r="BH53" i="19"/>
  <c r="BK52" i="19"/>
  <c r="BI52" i="19"/>
  <c r="BH52" i="19"/>
  <c r="BK51" i="19"/>
  <c r="BI51" i="19"/>
  <c r="BH51" i="19"/>
  <c r="BJ51" i="19" s="1"/>
  <c r="BK50" i="19"/>
  <c r="BI50" i="19"/>
  <c r="BH50" i="19"/>
  <c r="BK49" i="19"/>
  <c r="BI49" i="19"/>
  <c r="BH49" i="19"/>
  <c r="BK48" i="19"/>
  <c r="BI48" i="19"/>
  <c r="BH48" i="19"/>
  <c r="BK47" i="19"/>
  <c r="BI47" i="19"/>
  <c r="BH47" i="19"/>
  <c r="BK46" i="19"/>
  <c r="BI46" i="19"/>
  <c r="BH46" i="19"/>
  <c r="BK45" i="19"/>
  <c r="BI45" i="19"/>
  <c r="BH45" i="19"/>
  <c r="BK44" i="19"/>
  <c r="BI44" i="19"/>
  <c r="BH44" i="19"/>
  <c r="BK43" i="19"/>
  <c r="BI43" i="19"/>
  <c r="BH43" i="19"/>
  <c r="BJ43" i="19" s="1"/>
  <c r="BK42" i="19"/>
  <c r="BI42" i="19"/>
  <c r="BH42" i="19"/>
  <c r="BK41" i="19"/>
  <c r="BI41" i="19"/>
  <c r="BH41" i="19"/>
  <c r="BK40" i="19"/>
  <c r="BI40" i="19"/>
  <c r="BH40" i="19"/>
  <c r="BK39" i="19"/>
  <c r="BI39" i="19"/>
  <c r="BH39" i="19"/>
  <c r="BK38" i="19"/>
  <c r="BI38" i="19"/>
  <c r="BH38" i="19"/>
  <c r="BK37" i="19"/>
  <c r="BI37" i="19"/>
  <c r="BH37" i="19"/>
  <c r="BK36" i="19"/>
  <c r="BI36" i="19"/>
  <c r="BH36" i="19"/>
  <c r="BK35" i="19"/>
  <c r="BI35" i="19"/>
  <c r="BH35" i="19"/>
  <c r="BJ35" i="19" s="1"/>
  <c r="BK34" i="19"/>
  <c r="BI34" i="19"/>
  <c r="BH34" i="19"/>
  <c r="BK33" i="19"/>
  <c r="BI33" i="19"/>
  <c r="BH33" i="19"/>
  <c r="BK32" i="19"/>
  <c r="BI32" i="19"/>
  <c r="BH32" i="19"/>
  <c r="BK31" i="19"/>
  <c r="BI31" i="19"/>
  <c r="BH31" i="19"/>
  <c r="BK30" i="19"/>
  <c r="BI30" i="19"/>
  <c r="BH30" i="19"/>
  <c r="BK29" i="19"/>
  <c r="BI29" i="19"/>
  <c r="BH29" i="19"/>
  <c r="BK28" i="19"/>
  <c r="BI28" i="19"/>
  <c r="BH28" i="19"/>
  <c r="BK27" i="19"/>
  <c r="BI27" i="19"/>
  <c r="BH27" i="19"/>
  <c r="BJ27" i="19" s="1"/>
  <c r="BK26" i="19"/>
  <c r="BI26" i="19"/>
  <c r="BH26" i="19"/>
  <c r="BK25" i="19"/>
  <c r="BI25" i="19"/>
  <c r="BH25" i="19"/>
  <c r="BK24" i="19"/>
  <c r="BI24" i="19"/>
  <c r="BH24" i="19"/>
  <c r="BK23" i="19"/>
  <c r="BI23" i="19"/>
  <c r="BH23" i="19"/>
  <c r="BK22" i="19"/>
  <c r="BI22" i="19"/>
  <c r="BH22" i="19"/>
  <c r="BK21" i="19"/>
  <c r="BI21" i="19"/>
  <c r="BH21" i="19"/>
  <c r="BK20" i="19"/>
  <c r="BI20" i="19"/>
  <c r="BH20" i="19"/>
  <c r="BK19" i="19"/>
  <c r="BI19" i="19"/>
  <c r="BH19" i="19"/>
  <c r="BJ19" i="19" s="1"/>
  <c r="BK18" i="19"/>
  <c r="BI18" i="19"/>
  <c r="BH18" i="19"/>
  <c r="BJ18" i="19" s="1"/>
  <c r="BK17" i="19"/>
  <c r="BI17" i="19"/>
  <c r="BH17" i="19"/>
  <c r="BK16" i="19"/>
  <c r="BI16" i="19"/>
  <c r="BH16" i="19"/>
  <c r="BK15" i="19"/>
  <c r="BI15" i="19"/>
  <c r="BH15" i="19"/>
  <c r="BK14" i="19"/>
  <c r="BI14" i="19"/>
  <c r="BH14" i="19"/>
  <c r="BJ14" i="19" s="1"/>
  <c r="BK13" i="19"/>
  <c r="BI13" i="19"/>
  <c r="BH13" i="19"/>
  <c r="BK12" i="19"/>
  <c r="BI12" i="19"/>
  <c r="BH12" i="19"/>
  <c r="BK11" i="19"/>
  <c r="BI11" i="19"/>
  <c r="BH11" i="19"/>
  <c r="BJ11" i="19" s="1"/>
  <c r="BK10" i="19"/>
  <c r="BI10" i="19"/>
  <c r="BH10" i="19"/>
  <c r="BJ10" i="19" s="1"/>
  <c r="BF63" i="19"/>
  <c r="BD63" i="19"/>
  <c r="BC63" i="19"/>
  <c r="BF62" i="19"/>
  <c r="BD62" i="19"/>
  <c r="BC62" i="19"/>
  <c r="BF61" i="19"/>
  <c r="BD61" i="19"/>
  <c r="BC61" i="19"/>
  <c r="BF60" i="19"/>
  <c r="BD60" i="19"/>
  <c r="BC60" i="19"/>
  <c r="BF59" i="19"/>
  <c r="BD59" i="19"/>
  <c r="BC59" i="19"/>
  <c r="BE59" i="19" s="1"/>
  <c r="BF58" i="19"/>
  <c r="BD58" i="19"/>
  <c r="BC58" i="19"/>
  <c r="BF57" i="19"/>
  <c r="BD57" i="19"/>
  <c r="BC57" i="19"/>
  <c r="BF56" i="19"/>
  <c r="BD56" i="19"/>
  <c r="BC56" i="19"/>
  <c r="BF55" i="19"/>
  <c r="BD55" i="19"/>
  <c r="BC55" i="19"/>
  <c r="BF54" i="19"/>
  <c r="BD54" i="19"/>
  <c r="BC54" i="19"/>
  <c r="BF53" i="19"/>
  <c r="BD53" i="19"/>
  <c r="BC53" i="19"/>
  <c r="BF52" i="19"/>
  <c r="BD52" i="19"/>
  <c r="BC52" i="19"/>
  <c r="BF51" i="19"/>
  <c r="BD51" i="19"/>
  <c r="BC51" i="19"/>
  <c r="BE51" i="19" s="1"/>
  <c r="BF50" i="19"/>
  <c r="BD50" i="19"/>
  <c r="BC50" i="19"/>
  <c r="BF49" i="19"/>
  <c r="BD49" i="19"/>
  <c r="BC49" i="19"/>
  <c r="BF48" i="19"/>
  <c r="BD48" i="19"/>
  <c r="BC48" i="19"/>
  <c r="BF47" i="19"/>
  <c r="BD47" i="19"/>
  <c r="BC47" i="19"/>
  <c r="BF46" i="19"/>
  <c r="BD46" i="19"/>
  <c r="BC46" i="19"/>
  <c r="BF45" i="19"/>
  <c r="BD45" i="19"/>
  <c r="BC45" i="19"/>
  <c r="BF44" i="19"/>
  <c r="BD44" i="19"/>
  <c r="BC44" i="19"/>
  <c r="BF43" i="19"/>
  <c r="BD43" i="19"/>
  <c r="BC43" i="19"/>
  <c r="BE43" i="19" s="1"/>
  <c r="BF42" i="19"/>
  <c r="BD42" i="19"/>
  <c r="BC42" i="19"/>
  <c r="BF41" i="19"/>
  <c r="BD41" i="19"/>
  <c r="BC41" i="19"/>
  <c r="BF40" i="19"/>
  <c r="BD40" i="19"/>
  <c r="BC40" i="19"/>
  <c r="BF39" i="19"/>
  <c r="BD39" i="19"/>
  <c r="BC39" i="19"/>
  <c r="BF38" i="19"/>
  <c r="BD38" i="19"/>
  <c r="BC38" i="19"/>
  <c r="BF37" i="19"/>
  <c r="BD37" i="19"/>
  <c r="BC37" i="19"/>
  <c r="BF36" i="19"/>
  <c r="BD36" i="19"/>
  <c r="BC36" i="19"/>
  <c r="BF35" i="19"/>
  <c r="BD35" i="19"/>
  <c r="BC35" i="19"/>
  <c r="BE35" i="19" s="1"/>
  <c r="BF34" i="19"/>
  <c r="BD34" i="19"/>
  <c r="BC34" i="19"/>
  <c r="BF33" i="19"/>
  <c r="BD33" i="19"/>
  <c r="BC33" i="19"/>
  <c r="BF32" i="19"/>
  <c r="BD32" i="19"/>
  <c r="BC32" i="19"/>
  <c r="BF31" i="19"/>
  <c r="BD31" i="19"/>
  <c r="BC31" i="19"/>
  <c r="BF30" i="19"/>
  <c r="BD30" i="19"/>
  <c r="BC30" i="19"/>
  <c r="BF29" i="19"/>
  <c r="BD29" i="19"/>
  <c r="BC29" i="19"/>
  <c r="BF28" i="19"/>
  <c r="BD28" i="19"/>
  <c r="BC28" i="19"/>
  <c r="BF27" i="19"/>
  <c r="BD27" i="19"/>
  <c r="BC27" i="19"/>
  <c r="BE27" i="19" s="1"/>
  <c r="BF26" i="19"/>
  <c r="BD26" i="19"/>
  <c r="BC26" i="19"/>
  <c r="BF25" i="19"/>
  <c r="BD25" i="19"/>
  <c r="BC25" i="19"/>
  <c r="BF24" i="19"/>
  <c r="BD24" i="19"/>
  <c r="BC24" i="19"/>
  <c r="BF23" i="19"/>
  <c r="BD23" i="19"/>
  <c r="BC23" i="19"/>
  <c r="BF22" i="19"/>
  <c r="BD22" i="19"/>
  <c r="BC22" i="19"/>
  <c r="BF21" i="19"/>
  <c r="BD21" i="19"/>
  <c r="BC21" i="19"/>
  <c r="BF20" i="19"/>
  <c r="BD20" i="19"/>
  <c r="BC20" i="19"/>
  <c r="BF19" i="19"/>
  <c r="BD19" i="19"/>
  <c r="BC19" i="19"/>
  <c r="BE19" i="19" s="1"/>
  <c r="BF18" i="19"/>
  <c r="BD18" i="19"/>
  <c r="BC18" i="19"/>
  <c r="BF17" i="19"/>
  <c r="BD17" i="19"/>
  <c r="BC17" i="19"/>
  <c r="BF16" i="19"/>
  <c r="BD16" i="19"/>
  <c r="BC16" i="19"/>
  <c r="BF15" i="19"/>
  <c r="BD15" i="19"/>
  <c r="BC15" i="19"/>
  <c r="BF14" i="19"/>
  <c r="BD14" i="19"/>
  <c r="BC14" i="19"/>
  <c r="BF13" i="19"/>
  <c r="BD13" i="19"/>
  <c r="BC13" i="19"/>
  <c r="BF12" i="19"/>
  <c r="BD12" i="19"/>
  <c r="BC12" i="19"/>
  <c r="BF11" i="19"/>
  <c r="BD11" i="19"/>
  <c r="BC11" i="19"/>
  <c r="BE11" i="19" s="1"/>
  <c r="BF10" i="19"/>
  <c r="BD10" i="19"/>
  <c r="BC10" i="19"/>
  <c r="BA63" i="19"/>
  <c r="AY63" i="19"/>
  <c r="AX63" i="19"/>
  <c r="BA62" i="19"/>
  <c r="AY62" i="19"/>
  <c r="AX62" i="19"/>
  <c r="BA61" i="19"/>
  <c r="AY61" i="19"/>
  <c r="AX61" i="19"/>
  <c r="BA60" i="19"/>
  <c r="AY60" i="19"/>
  <c r="AX60" i="19"/>
  <c r="BA59" i="19"/>
  <c r="AY59" i="19"/>
  <c r="AX59" i="19"/>
  <c r="AZ59" i="19" s="1"/>
  <c r="BA58" i="19"/>
  <c r="AY58" i="19"/>
  <c r="AX58" i="19"/>
  <c r="AZ58" i="19" s="1"/>
  <c r="BA57" i="19"/>
  <c r="AY57" i="19"/>
  <c r="AX57" i="19"/>
  <c r="BA56" i="19"/>
  <c r="AY56" i="19"/>
  <c r="AX56" i="19"/>
  <c r="BA55" i="19"/>
  <c r="AY55" i="19"/>
  <c r="AX55" i="19"/>
  <c r="BA54" i="19"/>
  <c r="AY54" i="19"/>
  <c r="AX54" i="19"/>
  <c r="BA53" i="19"/>
  <c r="AY53" i="19"/>
  <c r="AX53" i="19"/>
  <c r="BA52" i="19"/>
  <c r="AY52" i="19"/>
  <c r="AX52" i="19"/>
  <c r="BA51" i="19"/>
  <c r="AY51" i="19"/>
  <c r="AX51" i="19"/>
  <c r="AZ51" i="19" s="1"/>
  <c r="BA50" i="19"/>
  <c r="AY50" i="19"/>
  <c r="AX50" i="19"/>
  <c r="AZ50" i="19" s="1"/>
  <c r="BA49" i="19"/>
  <c r="AY49" i="19"/>
  <c r="AX49" i="19"/>
  <c r="BA48" i="19"/>
  <c r="AY48" i="19"/>
  <c r="AX48" i="19"/>
  <c r="BA47" i="19"/>
  <c r="AY47" i="19"/>
  <c r="AX47" i="19"/>
  <c r="BA46" i="19"/>
  <c r="AY46" i="19"/>
  <c r="AX46" i="19"/>
  <c r="BA45" i="19"/>
  <c r="AY45" i="19"/>
  <c r="AX45" i="19"/>
  <c r="BA44" i="19"/>
  <c r="AY44" i="19"/>
  <c r="AX44" i="19"/>
  <c r="BA43" i="19"/>
  <c r="AY43" i="19"/>
  <c r="AX43" i="19"/>
  <c r="AZ43" i="19" s="1"/>
  <c r="BA42" i="19"/>
  <c r="AY42" i="19"/>
  <c r="AX42" i="19"/>
  <c r="AZ42" i="19" s="1"/>
  <c r="BA41" i="19"/>
  <c r="AY41" i="19"/>
  <c r="AX41" i="19"/>
  <c r="BA40" i="19"/>
  <c r="AY40" i="19"/>
  <c r="AX40" i="19"/>
  <c r="BA39" i="19"/>
  <c r="AY39" i="19"/>
  <c r="AX39" i="19"/>
  <c r="BA38" i="19"/>
  <c r="AY38" i="19"/>
  <c r="AX38" i="19"/>
  <c r="BA37" i="19"/>
  <c r="AY37" i="19"/>
  <c r="AX37" i="19"/>
  <c r="BA36" i="19"/>
  <c r="AY36" i="19"/>
  <c r="AX36" i="19"/>
  <c r="BA35" i="19"/>
  <c r="AY35" i="19"/>
  <c r="AX35" i="19"/>
  <c r="AZ35" i="19" s="1"/>
  <c r="BA34" i="19"/>
  <c r="AY34" i="19"/>
  <c r="AX34" i="19"/>
  <c r="AZ34" i="19" s="1"/>
  <c r="BA33" i="19"/>
  <c r="AY33" i="19"/>
  <c r="AX33" i="19"/>
  <c r="BA32" i="19"/>
  <c r="AY32" i="19"/>
  <c r="AX32" i="19"/>
  <c r="BA31" i="19"/>
  <c r="AY31" i="19"/>
  <c r="AX31" i="19"/>
  <c r="BA30" i="19"/>
  <c r="AY30" i="19"/>
  <c r="AX30" i="19"/>
  <c r="AZ30" i="19" s="1"/>
  <c r="BA29" i="19"/>
  <c r="AY29" i="19"/>
  <c r="AX29" i="19"/>
  <c r="BA28" i="19"/>
  <c r="AY28" i="19"/>
  <c r="AX28" i="19"/>
  <c r="BA27" i="19"/>
  <c r="AY27" i="19"/>
  <c r="AX27" i="19"/>
  <c r="AZ27" i="19" s="1"/>
  <c r="BA26" i="19"/>
  <c r="AY26" i="19"/>
  <c r="AX26" i="19"/>
  <c r="AZ26" i="19" s="1"/>
  <c r="BA25" i="19"/>
  <c r="AY25" i="19"/>
  <c r="AX25" i="19"/>
  <c r="BA24" i="19"/>
  <c r="AY24" i="19"/>
  <c r="AX24" i="19"/>
  <c r="BA23" i="19"/>
  <c r="AY23" i="19"/>
  <c r="AX23" i="19"/>
  <c r="BA22" i="19"/>
  <c r="AY22" i="19"/>
  <c r="AX22" i="19"/>
  <c r="AZ22" i="19" s="1"/>
  <c r="BA21" i="19"/>
  <c r="AY21" i="19"/>
  <c r="AX21" i="19"/>
  <c r="BA20" i="19"/>
  <c r="AY20" i="19"/>
  <c r="AX20" i="19"/>
  <c r="BA19" i="19"/>
  <c r="AY19" i="19"/>
  <c r="AX19" i="19"/>
  <c r="AZ19" i="19" s="1"/>
  <c r="BA18" i="19"/>
  <c r="AY18" i="19"/>
  <c r="AX18" i="19"/>
  <c r="AZ18" i="19" s="1"/>
  <c r="BA17" i="19"/>
  <c r="AY17" i="19"/>
  <c r="AX17" i="19"/>
  <c r="BA16" i="19"/>
  <c r="AY16" i="19"/>
  <c r="AX16" i="19"/>
  <c r="BA15" i="19"/>
  <c r="AY15" i="19"/>
  <c r="AX15" i="19"/>
  <c r="BA14" i="19"/>
  <c r="AY14" i="19"/>
  <c r="AX14" i="19"/>
  <c r="AZ14" i="19" s="1"/>
  <c r="BA13" i="19"/>
  <c r="AY13" i="19"/>
  <c r="AX13" i="19"/>
  <c r="BA12" i="19"/>
  <c r="AY12" i="19"/>
  <c r="AX12" i="19"/>
  <c r="BA11" i="19"/>
  <c r="AY11" i="19"/>
  <c r="AX11" i="19"/>
  <c r="AZ11" i="19" s="1"/>
  <c r="BA10" i="19"/>
  <c r="AY10" i="19"/>
  <c r="AX10" i="19"/>
  <c r="AZ10" i="19" s="1"/>
  <c r="CB20" i="13" l="1"/>
  <c r="O12" i="13"/>
  <c r="O16" i="13"/>
  <c r="O20" i="13"/>
  <c r="T10" i="13"/>
  <c r="T14" i="13"/>
  <c r="T18" i="13"/>
  <c r="T22" i="13"/>
  <c r="Y20" i="13"/>
  <c r="AN17" i="13"/>
  <c r="AD16" i="13"/>
  <c r="BR13" i="13"/>
  <c r="AD12" i="13"/>
  <c r="Y17" i="13"/>
  <c r="AI12" i="13"/>
  <c r="AI16" i="13"/>
  <c r="AI20" i="13"/>
  <c r="AN10" i="13"/>
  <c r="AN14" i="13"/>
  <c r="Y9" i="13"/>
  <c r="AN22" i="13"/>
  <c r="AD19" i="13"/>
  <c r="AN19" i="13"/>
  <c r="BC16" i="13"/>
  <c r="BC20" i="13"/>
  <c r="BM12" i="13"/>
  <c r="BM16" i="13"/>
  <c r="BM20" i="13"/>
  <c r="BW12" i="13"/>
  <c r="BW16" i="13"/>
  <c r="BW20" i="13"/>
  <c r="CB10" i="13"/>
  <c r="CB14" i="13"/>
  <c r="CB18" i="13"/>
  <c r="CB22" i="13"/>
  <c r="T20" i="13"/>
  <c r="AS9" i="13"/>
  <c r="T14" i="12"/>
  <c r="AD18" i="12"/>
  <c r="AD22" i="12"/>
  <c r="AI16" i="12"/>
  <c r="AI24" i="12"/>
  <c r="AI32" i="12"/>
  <c r="AN25" i="12"/>
  <c r="AX26" i="12"/>
  <c r="AX42" i="12"/>
  <c r="T22" i="12"/>
  <c r="Y37" i="12"/>
  <c r="Y41" i="12"/>
  <c r="AN14" i="12"/>
  <c r="AN18" i="12"/>
  <c r="AN41" i="12"/>
  <c r="AS11" i="12"/>
  <c r="AS26" i="12"/>
  <c r="AS30" i="12"/>
  <c r="AS34" i="12"/>
  <c r="O14" i="12"/>
  <c r="O22" i="12"/>
  <c r="O30" i="12"/>
  <c r="O38" i="12"/>
  <c r="T32" i="12"/>
  <c r="AN22" i="12"/>
  <c r="AN30" i="12"/>
  <c r="AN34" i="12"/>
  <c r="AS23" i="12"/>
  <c r="AX12" i="12"/>
  <c r="AD12" i="12"/>
  <c r="AD16" i="12"/>
  <c r="AD20" i="12"/>
  <c r="AI10" i="12"/>
  <c r="AI14" i="12"/>
  <c r="AI18" i="12"/>
  <c r="AI22" i="12"/>
  <c r="AI26" i="12"/>
  <c r="AI30" i="12"/>
  <c r="AI34" i="12"/>
  <c r="AN23" i="12"/>
  <c r="AN38" i="12"/>
  <c r="AN42" i="12"/>
  <c r="AS20" i="12"/>
  <c r="AS39" i="12"/>
  <c r="AX36" i="12"/>
  <c r="AX40" i="12"/>
  <c r="Y15" i="12"/>
  <c r="Y23" i="12"/>
  <c r="Y31" i="12"/>
  <c r="Y35" i="12"/>
  <c r="AD9" i="12"/>
  <c r="AN16" i="12"/>
  <c r="AN39" i="12"/>
  <c r="AS28" i="12"/>
  <c r="AS36" i="12"/>
  <c r="AX17" i="12"/>
  <c r="AX21" i="12"/>
  <c r="AX25" i="12"/>
  <c r="AX29" i="12"/>
  <c r="AX10" i="12"/>
  <c r="AD13" i="12"/>
  <c r="AD21" i="12"/>
  <c r="AD29" i="12"/>
  <c r="AD37" i="12"/>
  <c r="AI35" i="12"/>
  <c r="AN24" i="12"/>
  <c r="AS17" i="12"/>
  <c r="AX33" i="12"/>
  <c r="AX37" i="12"/>
  <c r="AX41" i="12"/>
  <c r="BO31" i="19"/>
  <c r="BO63" i="19"/>
  <c r="CD11" i="19"/>
  <c r="CI31" i="19"/>
  <c r="DC61" i="19"/>
  <c r="DC45" i="19"/>
  <c r="BJ22" i="19"/>
  <c r="BJ26" i="19"/>
  <c r="BJ30" i="19"/>
  <c r="BJ34" i="19"/>
  <c r="BJ38" i="19"/>
  <c r="BJ42" i="19"/>
  <c r="BJ50" i="19"/>
  <c r="BO28" i="19"/>
  <c r="BO32" i="19"/>
  <c r="BT29" i="19"/>
  <c r="BY30" i="19"/>
  <c r="BY38" i="19"/>
  <c r="BY46" i="19"/>
  <c r="BY54" i="19"/>
  <c r="CD35" i="19"/>
  <c r="CD39" i="19"/>
  <c r="CD47" i="19"/>
  <c r="CI20" i="19"/>
  <c r="CI28" i="19"/>
  <c r="CI44" i="19"/>
  <c r="CX37" i="19"/>
  <c r="BY58" i="19"/>
  <c r="CD12" i="19"/>
  <c r="CD16" i="19"/>
  <c r="CI52" i="19"/>
  <c r="CX57" i="19"/>
  <c r="DC15" i="19"/>
  <c r="DH16" i="19"/>
  <c r="DR23" i="19"/>
  <c r="DR27" i="19"/>
  <c r="DR35" i="19"/>
  <c r="DR39" i="19"/>
  <c r="DW13" i="19"/>
  <c r="DW49" i="19"/>
  <c r="DW57" i="19"/>
  <c r="DW61" i="19"/>
  <c r="CD20" i="19"/>
  <c r="CD28" i="19"/>
  <c r="CS32" i="19"/>
  <c r="CS40" i="19"/>
  <c r="CS48" i="19"/>
  <c r="CS56" i="19"/>
  <c r="CX14" i="19"/>
  <c r="DC27" i="19"/>
  <c r="DC35" i="19"/>
  <c r="DC39" i="19"/>
  <c r="BO13" i="19"/>
  <c r="BO29" i="19"/>
  <c r="BO45" i="19"/>
  <c r="BY59" i="19"/>
  <c r="CD56" i="19"/>
  <c r="CI37" i="19"/>
  <c r="CI45" i="19"/>
  <c r="CI49" i="19"/>
  <c r="CI57" i="19"/>
  <c r="DC20" i="19"/>
  <c r="DH17" i="19"/>
  <c r="DH25" i="19"/>
  <c r="DR36" i="19"/>
  <c r="DR48" i="19"/>
  <c r="DR56" i="19"/>
  <c r="BE10" i="19"/>
  <c r="BE18" i="19"/>
  <c r="BE26" i="19"/>
  <c r="BE34" i="19"/>
  <c r="BE38" i="19"/>
  <c r="BE42" i="19"/>
  <c r="BE46" i="19"/>
  <c r="BE50" i="19"/>
  <c r="BE54" i="19"/>
  <c r="BE58" i="19"/>
  <c r="BE62" i="19"/>
  <c r="BO10" i="19"/>
  <c r="CD25" i="19"/>
  <c r="CI42" i="19"/>
  <c r="CN23" i="19"/>
  <c r="DC17" i="19"/>
  <c r="DC56" i="19"/>
  <c r="DM11" i="19"/>
  <c r="DM19" i="19"/>
  <c r="DM27" i="19"/>
  <c r="DM35" i="19"/>
  <c r="DM43" i="19"/>
  <c r="DM51" i="19"/>
  <c r="DM59" i="19"/>
  <c r="DR17" i="19"/>
  <c r="BY60" i="19"/>
  <c r="DH26" i="19"/>
  <c r="DR29" i="19"/>
  <c r="DR37" i="19"/>
  <c r="DR45" i="19"/>
  <c r="DW15" i="19"/>
  <c r="DW23" i="19"/>
  <c r="DW27" i="19"/>
  <c r="DW31" i="19"/>
  <c r="DW39" i="19"/>
  <c r="DW47" i="19"/>
  <c r="DW55" i="19"/>
  <c r="DW63" i="19"/>
  <c r="Y22" i="13"/>
  <c r="AD13" i="13"/>
  <c r="AD22" i="13"/>
  <c r="AI9" i="13"/>
  <c r="AI17" i="13"/>
  <c r="AN9" i="13"/>
  <c r="AS15" i="13"/>
  <c r="AS20" i="13"/>
  <c r="AX12" i="13"/>
  <c r="AX15" i="13"/>
  <c r="AX20" i="13"/>
  <c r="BH11" i="13"/>
  <c r="BH16" i="13"/>
  <c r="BH19" i="13"/>
  <c r="Y18" i="13"/>
  <c r="AD9" i="13"/>
  <c r="AI15" i="13"/>
  <c r="AN15" i="13"/>
  <c r="AN20" i="13"/>
  <c r="AS11" i="13"/>
  <c r="AS18" i="13"/>
  <c r="AS21" i="13"/>
  <c r="AX10" i="13"/>
  <c r="AX13" i="13"/>
  <c r="AX18" i="13"/>
  <c r="AX21" i="13"/>
  <c r="BH9" i="13"/>
  <c r="BH14" i="13"/>
  <c r="BH17" i="13"/>
  <c r="BH22" i="13"/>
  <c r="BR19" i="13"/>
  <c r="Y14" i="13"/>
  <c r="AD21" i="13"/>
  <c r="AI13" i="13"/>
  <c r="AI21" i="13"/>
  <c r="AN13" i="13"/>
  <c r="AN18" i="13"/>
  <c r="AS16" i="13"/>
  <c r="AS19" i="13"/>
  <c r="AX11" i="13"/>
  <c r="AX16" i="13"/>
  <c r="AX19" i="13"/>
  <c r="BH12" i="13"/>
  <c r="BH15" i="13"/>
  <c r="BH20" i="13"/>
  <c r="BR12" i="13"/>
  <c r="BR17" i="13"/>
  <c r="BR22" i="13"/>
  <c r="Y10" i="13"/>
  <c r="AD17" i="13"/>
  <c r="AI11" i="13"/>
  <c r="AI19" i="13"/>
  <c r="AN11" i="13"/>
  <c r="AS17" i="13"/>
  <c r="AS22" i="13"/>
  <c r="AX9" i="13"/>
  <c r="AX14" i="13"/>
  <c r="AX17" i="13"/>
  <c r="AX22" i="13"/>
  <c r="BC11" i="13"/>
  <c r="BH10" i="13"/>
  <c r="BH13" i="13"/>
  <c r="BH18" i="13"/>
  <c r="BH21" i="13"/>
  <c r="BR10" i="13"/>
  <c r="BR15" i="13"/>
  <c r="O9" i="12"/>
  <c r="O17" i="12"/>
  <c r="O25" i="12"/>
  <c r="O33" i="12"/>
  <c r="O41" i="12"/>
  <c r="T10" i="12"/>
  <c r="T13" i="12"/>
  <c r="T18" i="12"/>
  <c r="T21" i="12"/>
  <c r="T26" i="12"/>
  <c r="T29" i="12"/>
  <c r="T34" i="12"/>
  <c r="Y11" i="12"/>
  <c r="Y19" i="12"/>
  <c r="Y27" i="12"/>
  <c r="Y40" i="12"/>
  <c r="AD11" i="12"/>
  <c r="AD25" i="12"/>
  <c r="AD30" i="12"/>
  <c r="AD33" i="12"/>
  <c r="AD38" i="12"/>
  <c r="AD41" i="12"/>
  <c r="AI13" i="12"/>
  <c r="AI21" i="12"/>
  <c r="AI29" i="12"/>
  <c r="AI39" i="12"/>
  <c r="AN15" i="12"/>
  <c r="AN31" i="12"/>
  <c r="AS9" i="12"/>
  <c r="AS25" i="12"/>
  <c r="AS41" i="12"/>
  <c r="AX19" i="12"/>
  <c r="AX35" i="12"/>
  <c r="O15" i="12"/>
  <c r="O23" i="12"/>
  <c r="O31" i="12"/>
  <c r="O39" i="12"/>
  <c r="T11" i="12"/>
  <c r="T16" i="12"/>
  <c r="T19" i="12"/>
  <c r="T24" i="12"/>
  <c r="T27" i="12"/>
  <c r="T40" i="12"/>
  <c r="Y9" i="12"/>
  <c r="Y17" i="12"/>
  <c r="Y25" i="12"/>
  <c r="Y38" i="12"/>
  <c r="AD23" i="12"/>
  <c r="AD28" i="12"/>
  <c r="AD31" i="12"/>
  <c r="AD36" i="12"/>
  <c r="AD39" i="12"/>
  <c r="AI11" i="12"/>
  <c r="AI19" i="12"/>
  <c r="AI27" i="12"/>
  <c r="AN11" i="12"/>
  <c r="AN27" i="12"/>
  <c r="AS21" i="12"/>
  <c r="AS37" i="12"/>
  <c r="AX15" i="12"/>
  <c r="AX31" i="12"/>
  <c r="O10" i="12"/>
  <c r="O18" i="12"/>
  <c r="O26" i="12"/>
  <c r="O34" i="12"/>
  <c r="O42" i="12"/>
  <c r="T30" i="12"/>
  <c r="T35" i="12"/>
  <c r="Y12" i="12"/>
  <c r="Y20" i="12"/>
  <c r="AD26" i="12"/>
  <c r="AD34" i="12"/>
  <c r="AD42" i="12"/>
  <c r="AS42" i="12"/>
  <c r="AX27" i="12"/>
  <c r="O16" i="12"/>
  <c r="O24" i="12"/>
  <c r="O32" i="12"/>
  <c r="O40" i="12"/>
  <c r="T28" i="12"/>
  <c r="Y10" i="12"/>
  <c r="Y18" i="12"/>
  <c r="Y26" i="12"/>
  <c r="Y39" i="12"/>
  <c r="AD17" i="12"/>
  <c r="AI12" i="12"/>
  <c r="AI20" i="12"/>
  <c r="AI28" i="12"/>
  <c r="AI38" i="12"/>
  <c r="AN37" i="12"/>
  <c r="AS15" i="12"/>
  <c r="AS31" i="12"/>
  <c r="O11" i="12"/>
  <c r="O19" i="12"/>
  <c r="O27" i="12"/>
  <c r="O35" i="12"/>
  <c r="T15" i="12"/>
  <c r="T23" i="12"/>
  <c r="T31" i="12"/>
  <c r="T36" i="12"/>
  <c r="Y13" i="12"/>
  <c r="Y21" i="12"/>
  <c r="Y29" i="12"/>
  <c r="Y34" i="12"/>
  <c r="AD15" i="12"/>
  <c r="AD27" i="12"/>
  <c r="AD35" i="12"/>
  <c r="AI15" i="12"/>
  <c r="AI23" i="12"/>
  <c r="AI31" i="12"/>
  <c r="AI36" i="12"/>
  <c r="AI41" i="12"/>
  <c r="AN19" i="12"/>
  <c r="AN35" i="12"/>
  <c r="AS13" i="12"/>
  <c r="AS29" i="12"/>
  <c r="AX23" i="12"/>
  <c r="AX39" i="12"/>
  <c r="BJ46" i="19"/>
  <c r="BJ54" i="19"/>
  <c r="BJ62" i="19"/>
  <c r="BO16" i="19"/>
  <c r="BO36" i="19"/>
  <c r="BO41" i="19"/>
  <c r="BO51" i="19"/>
  <c r="BT15" i="19"/>
  <c r="BT28" i="19"/>
  <c r="BT43" i="19"/>
  <c r="BT53" i="19"/>
  <c r="BY10" i="19"/>
  <c r="BY18" i="19"/>
  <c r="BY26" i="19"/>
  <c r="BY34" i="19"/>
  <c r="BY42" i="19"/>
  <c r="BY50" i="19"/>
  <c r="BY63" i="19"/>
  <c r="CD17" i="19"/>
  <c r="CD43" i="19"/>
  <c r="CD48" i="19"/>
  <c r="CD53" i="19"/>
  <c r="CD63" i="19"/>
  <c r="CI12" i="19"/>
  <c r="CI17" i="19"/>
  <c r="CI25" i="19"/>
  <c r="CI48" i="19"/>
  <c r="CI53" i="19"/>
  <c r="CI56" i="19"/>
  <c r="CN25" i="19"/>
  <c r="CN28" i="19"/>
  <c r="CN36" i="19"/>
  <c r="CN41" i="19"/>
  <c r="CN54" i="19"/>
  <c r="CN59" i="19"/>
  <c r="CX26" i="19"/>
  <c r="CX34" i="19"/>
  <c r="DC30" i="19"/>
  <c r="DC43" i="19"/>
  <c r="DC48" i="19"/>
  <c r="DC53" i="19"/>
  <c r="DH10" i="19"/>
  <c r="DH38" i="19"/>
  <c r="DH46" i="19"/>
  <c r="DH54" i="19"/>
  <c r="DH62" i="19"/>
  <c r="DM14" i="19"/>
  <c r="DM22" i="19"/>
  <c r="DM62" i="19"/>
  <c r="DR14" i="19"/>
  <c r="DR32" i="19"/>
  <c r="DR42" i="19"/>
  <c r="DR47" i="19"/>
  <c r="DR50" i="19"/>
  <c r="DR58" i="19"/>
  <c r="DW10" i="19"/>
  <c r="DW18" i="19"/>
  <c r="DW26" i="19"/>
  <c r="DW34" i="19"/>
  <c r="DW42" i="19"/>
  <c r="DW50" i="19"/>
  <c r="DH15" i="19"/>
  <c r="DH23" i="19"/>
  <c r="DH28" i="19"/>
  <c r="DH33" i="19"/>
  <c r="AZ12" i="19"/>
  <c r="AZ20" i="19"/>
  <c r="AZ28" i="19"/>
  <c r="AZ36" i="19"/>
  <c r="AZ44" i="19"/>
  <c r="AZ52" i="19"/>
  <c r="AZ60" i="19"/>
  <c r="BE12" i="19"/>
  <c r="BE20" i="19"/>
  <c r="BE28" i="19"/>
  <c r="BE36" i="19"/>
  <c r="BE44" i="19"/>
  <c r="BE52" i="19"/>
  <c r="BE60" i="19"/>
  <c r="BJ12" i="19"/>
  <c r="BJ20" i="19"/>
  <c r="BJ28" i="19"/>
  <c r="BJ36" i="19"/>
  <c r="BJ44" i="19"/>
  <c r="BJ52" i="19"/>
  <c r="BO19" i="19"/>
  <c r="BO24" i="19"/>
  <c r="BO34" i="19"/>
  <c r="BO39" i="19"/>
  <c r="BO44" i="19"/>
  <c r="BO49" i="19"/>
  <c r="BT34" i="19"/>
  <c r="BT49" i="19"/>
  <c r="BY48" i="19"/>
  <c r="CD13" i="19"/>
  <c r="CD23" i="19"/>
  <c r="CD33" i="19"/>
  <c r="CD59" i="19"/>
  <c r="CI23" i="19"/>
  <c r="CI36" i="19"/>
  <c r="CN16" i="19"/>
  <c r="CN34" i="19"/>
  <c r="CN47" i="19"/>
  <c r="CN52" i="19"/>
  <c r="CS41" i="19"/>
  <c r="CX11" i="19"/>
  <c r="CX19" i="19"/>
  <c r="DH49" i="19"/>
  <c r="DH57" i="19"/>
  <c r="DH60" i="19"/>
  <c r="DM12" i="19"/>
  <c r="DM20" i="19"/>
  <c r="DR53" i="19"/>
  <c r="DR61" i="19"/>
  <c r="DW24" i="19"/>
  <c r="BO12" i="19"/>
  <c r="BO17" i="19"/>
  <c r="BO42" i="19"/>
  <c r="BO52" i="19"/>
  <c r="BO57" i="19"/>
  <c r="BT11" i="19"/>
  <c r="BT44" i="19"/>
  <c r="BT59" i="19"/>
  <c r="CD36" i="19"/>
  <c r="CD44" i="19"/>
  <c r="CI26" i="19"/>
  <c r="CN29" i="19"/>
  <c r="CN55" i="19"/>
  <c r="CN60" i="19"/>
  <c r="CS12" i="19"/>
  <c r="CS20" i="19"/>
  <c r="CS28" i="19"/>
  <c r="CS36" i="19"/>
  <c r="CS44" i="19"/>
  <c r="CS52" i="19"/>
  <c r="CS57" i="19"/>
  <c r="CX17" i="19"/>
  <c r="CX22" i="19"/>
  <c r="CX35" i="19"/>
  <c r="CX40" i="19"/>
  <c r="CX45" i="19"/>
  <c r="CX48" i="19"/>
  <c r="CX53" i="19"/>
  <c r="CX56" i="19"/>
  <c r="CX61" i="19"/>
  <c r="DC13" i="19"/>
  <c r="DC23" i="19"/>
  <c r="DC31" i="19"/>
  <c r="DC36" i="19"/>
  <c r="DC44" i="19"/>
  <c r="DC62" i="19"/>
  <c r="DH31" i="19"/>
  <c r="DM15" i="19"/>
  <c r="DM23" i="19"/>
  <c r="DM31" i="19"/>
  <c r="DM39" i="19"/>
  <c r="DM47" i="19"/>
  <c r="DM55" i="19"/>
  <c r="DM63" i="19"/>
  <c r="DR15" i="19"/>
  <c r="DR25" i="19"/>
  <c r="DR33" i="19"/>
  <c r="DR38" i="19"/>
  <c r="DR43" i="19"/>
  <c r="DW11" i="19"/>
  <c r="BJ61" i="19"/>
  <c r="BO25" i="19"/>
  <c r="BO35" i="19"/>
  <c r="BO55" i="19"/>
  <c r="BT27" i="19"/>
  <c r="BT37" i="19"/>
  <c r="BT50" i="19"/>
  <c r="BY62" i="19"/>
  <c r="CD14" i="19"/>
  <c r="CD24" i="19"/>
  <c r="CD52" i="19"/>
  <c r="CD57" i="19"/>
  <c r="CI16" i="19"/>
  <c r="CI21" i="19"/>
  <c r="CI24" i="19"/>
  <c r="CI29" i="19"/>
  <c r="CI55" i="19"/>
  <c r="CI60" i="19"/>
  <c r="CN17" i="19"/>
  <c r="CN27" i="19"/>
  <c r="CN35" i="19"/>
  <c r="CN40" i="19"/>
  <c r="CN48" i="19"/>
  <c r="CN53" i="19"/>
  <c r="CN58" i="19"/>
  <c r="CS26" i="19"/>
  <c r="CS34" i="19"/>
  <c r="CS42" i="19"/>
  <c r="CS50" i="19"/>
  <c r="CS63" i="19"/>
  <c r="CX15" i="19"/>
  <c r="CX33" i="19"/>
  <c r="CX38" i="19"/>
  <c r="CX43" i="19"/>
  <c r="CX46" i="19"/>
  <c r="CX51" i="19"/>
  <c r="CX54" i="19"/>
  <c r="CX59" i="19"/>
  <c r="CX62" i="19"/>
  <c r="DC14" i="19"/>
  <c r="DC29" i="19"/>
  <c r="DC52" i="19"/>
  <c r="DH19" i="19"/>
  <c r="DM13" i="19"/>
  <c r="DM21" i="19"/>
  <c r="DM29" i="19"/>
  <c r="DM37" i="19"/>
  <c r="DM45" i="19"/>
  <c r="DM53" i="19"/>
  <c r="DM61" i="19"/>
  <c r="DR13" i="19"/>
  <c r="DR41" i="19"/>
  <c r="DW17" i="19"/>
  <c r="DW25" i="19"/>
  <c r="DW33" i="19"/>
  <c r="DW41" i="19"/>
  <c r="AZ16" i="19"/>
  <c r="AZ24" i="19"/>
  <c r="AZ32" i="19"/>
  <c r="AZ40" i="19"/>
  <c r="AZ48" i="19"/>
  <c r="AZ56" i="19"/>
  <c r="BE16" i="19"/>
  <c r="BE24" i="19"/>
  <c r="BE32" i="19"/>
  <c r="BE40" i="19"/>
  <c r="BE48" i="19"/>
  <c r="BE56" i="19"/>
  <c r="BJ16" i="19"/>
  <c r="BJ24" i="19"/>
  <c r="BJ32" i="19"/>
  <c r="BJ40" i="19"/>
  <c r="BJ48" i="19"/>
  <c r="BJ56" i="19"/>
  <c r="BO18" i="19"/>
  <c r="BO58" i="19"/>
  <c r="BT12" i="19"/>
  <c r="BT40" i="19"/>
  <c r="BT45" i="19"/>
  <c r="BT60" i="19"/>
  <c r="BY12" i="19"/>
  <c r="BY20" i="19"/>
  <c r="BY28" i="19"/>
  <c r="BY36" i="19"/>
  <c r="BY44" i="19"/>
  <c r="BY52" i="19"/>
  <c r="BY57" i="19"/>
  <c r="CD27" i="19"/>
  <c r="CD32" i="19"/>
  <c r="CD37" i="19"/>
  <c r="CD45" i="19"/>
  <c r="CD55" i="19"/>
  <c r="CI19" i="19"/>
  <c r="CI27" i="19"/>
  <c r="CI32" i="19"/>
  <c r="CI40" i="19"/>
  <c r="CI58" i="19"/>
  <c r="CN12" i="19"/>
  <c r="CN43" i="19"/>
  <c r="CX10" i="19"/>
  <c r="CX18" i="19"/>
  <c r="CX23" i="19"/>
  <c r="DC24" i="19"/>
  <c r="DC32" i="19"/>
  <c r="DC37" i="19"/>
  <c r="DC50" i="19"/>
  <c r="DC55" i="19"/>
  <c r="DH22" i="19"/>
  <c r="DH32" i="19"/>
  <c r="DR16" i="19"/>
  <c r="DR26" i="19"/>
  <c r="AZ38" i="19"/>
  <c r="AZ46" i="19"/>
  <c r="AZ54" i="19"/>
  <c r="AZ62" i="19"/>
  <c r="BE14" i="19"/>
  <c r="BE22" i="19"/>
  <c r="BE30" i="19"/>
  <c r="AZ17" i="19"/>
  <c r="AZ25" i="19"/>
  <c r="AZ33" i="19"/>
  <c r="AZ41" i="19"/>
  <c r="AZ49" i="19"/>
  <c r="AZ57" i="19"/>
  <c r="BE17" i="19"/>
  <c r="BE25" i="19"/>
  <c r="BE33" i="19"/>
  <c r="BE41" i="19"/>
  <c r="BE49" i="19"/>
  <c r="BE57" i="19"/>
  <c r="BJ17" i="19"/>
  <c r="BJ25" i="19"/>
  <c r="BJ33" i="19"/>
  <c r="BJ41" i="19"/>
  <c r="BJ49" i="19"/>
  <c r="BO20" i="19"/>
  <c r="CI61" i="19"/>
  <c r="DC49" i="19"/>
  <c r="DH21" i="19"/>
  <c r="AZ15" i="19"/>
  <c r="AZ23" i="19"/>
  <c r="AZ31" i="19"/>
  <c r="AZ39" i="19"/>
  <c r="AZ47" i="19"/>
  <c r="AZ55" i="19"/>
  <c r="AZ63" i="19"/>
  <c r="BE15" i="19"/>
  <c r="BE23" i="19"/>
  <c r="BE31" i="19"/>
  <c r="BE39" i="19"/>
  <c r="BE47" i="19"/>
  <c r="BE55" i="19"/>
  <c r="BE63" i="19"/>
  <c r="BJ15" i="19"/>
  <c r="BJ23" i="19"/>
  <c r="BJ31" i="19"/>
  <c r="BJ39" i="19"/>
  <c r="BJ47" i="19"/>
  <c r="BJ55" i="19"/>
  <c r="BJ60" i="19"/>
  <c r="CN21" i="19"/>
  <c r="CX31" i="19"/>
  <c r="AZ13" i="19"/>
  <c r="AZ21" i="19"/>
  <c r="AZ29" i="19"/>
  <c r="AZ37" i="19"/>
  <c r="AZ45" i="19"/>
  <c r="AZ53" i="19"/>
  <c r="AZ61" i="19"/>
  <c r="BE13" i="19"/>
  <c r="BE21" i="19"/>
  <c r="BE29" i="19"/>
  <c r="BE37" i="19"/>
  <c r="BE45" i="19"/>
  <c r="BE53" i="19"/>
  <c r="BE61" i="19"/>
  <c r="BJ13" i="19"/>
  <c r="BJ21" i="19"/>
  <c r="BJ29" i="19"/>
  <c r="BJ37" i="19"/>
  <c r="BJ45" i="19"/>
  <c r="BJ53" i="19"/>
  <c r="BJ58" i="19"/>
  <c r="BJ63" i="19"/>
  <c r="BO26" i="19"/>
  <c r="BT17" i="19"/>
  <c r="BO50" i="19"/>
  <c r="BT10" i="19"/>
  <c r="BT26" i="19"/>
  <c r="BT42" i="19"/>
  <c r="BT58" i="19"/>
  <c r="BY17" i="19"/>
  <c r="BY25" i="19"/>
  <c r="BY33" i="19"/>
  <c r="BY41" i="19"/>
  <c r="BY49" i="19"/>
  <c r="CD22" i="19"/>
  <c r="CD38" i="19"/>
  <c r="CD54" i="19"/>
  <c r="CI18" i="19"/>
  <c r="CI34" i="19"/>
  <c r="CI50" i="19"/>
  <c r="CN10" i="19"/>
  <c r="CN26" i="19"/>
  <c r="CN42" i="19"/>
  <c r="CN62" i="19"/>
  <c r="CS11" i="19"/>
  <c r="CS19" i="19"/>
  <c r="CS27" i="19"/>
  <c r="CS35" i="19"/>
  <c r="CS43" i="19"/>
  <c r="CS51" i="19"/>
  <c r="CX24" i="19"/>
  <c r="DC22" i="19"/>
  <c r="DC38" i="19"/>
  <c r="DC54" i="19"/>
  <c r="DH14" i="19"/>
  <c r="DH30" i="19"/>
  <c r="DH37" i="19"/>
  <c r="DH40" i="19"/>
  <c r="DH45" i="19"/>
  <c r="DH48" i="19"/>
  <c r="DH53" i="19"/>
  <c r="DH56" i="19"/>
  <c r="DH61" i="19"/>
  <c r="DM16" i="19"/>
  <c r="DM24" i="19"/>
  <c r="DM32" i="19"/>
  <c r="DM40" i="19"/>
  <c r="DM48" i="19"/>
  <c r="DM56" i="19"/>
  <c r="DR24" i="19"/>
  <c r="DR40" i="19"/>
  <c r="DR49" i="19"/>
  <c r="DR52" i="19"/>
  <c r="DR57" i="19"/>
  <c r="DR60" i="19"/>
  <c r="DW12" i="19"/>
  <c r="DW20" i="19"/>
  <c r="DW28" i="19"/>
  <c r="DW36" i="19"/>
  <c r="DW44" i="19"/>
  <c r="DW52" i="19"/>
  <c r="DW60" i="19"/>
  <c r="BO14" i="19"/>
  <c r="BO30" i="19"/>
  <c r="BO46" i="19"/>
  <c r="BO62" i="19"/>
  <c r="BT22" i="19"/>
  <c r="BT38" i="19"/>
  <c r="BT54" i="19"/>
  <c r="BY15" i="19"/>
  <c r="BY23" i="19"/>
  <c r="BY31" i="19"/>
  <c r="BY39" i="19"/>
  <c r="BY47" i="19"/>
  <c r="CD18" i="19"/>
  <c r="CD34" i="19"/>
  <c r="CD50" i="19"/>
  <c r="CI14" i="19"/>
  <c r="CI30" i="19"/>
  <c r="CI46" i="19"/>
  <c r="CI62" i="19"/>
  <c r="CN22" i="19"/>
  <c r="CN38" i="19"/>
  <c r="CN56" i="19"/>
  <c r="CS17" i="19"/>
  <c r="CS25" i="19"/>
  <c r="CS33" i="19"/>
  <c r="CS49" i="19"/>
  <c r="CS62" i="19"/>
  <c r="CX20" i="19"/>
  <c r="CX36" i="19"/>
  <c r="DC18" i="19"/>
  <c r="DH35" i="19"/>
  <c r="DH43" i="19"/>
  <c r="DH51" i="19"/>
  <c r="DH59" i="19"/>
  <c r="DM30" i="19"/>
  <c r="DM38" i="19"/>
  <c r="DM46" i="19"/>
  <c r="DM54" i="19"/>
  <c r="DR55" i="19"/>
  <c r="DR63" i="19"/>
  <c r="DW58" i="19"/>
  <c r="BO60" i="19"/>
  <c r="BT20" i="19"/>
  <c r="DH24" i="19"/>
  <c r="DM25" i="19"/>
  <c r="DM57" i="19"/>
  <c r="DR18" i="19"/>
  <c r="DR34" i="19"/>
  <c r="DW21" i="19"/>
  <c r="DW29" i="19"/>
  <c r="DW37" i="19"/>
  <c r="DW45" i="19"/>
  <c r="DW53" i="19"/>
  <c r="CD30" i="19"/>
  <c r="CD46" i="19"/>
  <c r="CI10" i="19"/>
  <c r="CN18" i="19"/>
  <c r="CN50" i="19"/>
  <c r="CS15" i="19"/>
  <c r="CS23" i="19"/>
  <c r="CS31" i="19"/>
  <c r="CS39" i="19"/>
  <c r="CS47" i="19"/>
  <c r="CS55" i="19"/>
  <c r="CS60" i="19"/>
  <c r="CX16" i="19"/>
  <c r="CX32" i="19"/>
  <c r="DM28" i="19"/>
  <c r="DM36" i="19"/>
  <c r="DM44" i="19"/>
  <c r="DM52" i="19"/>
  <c r="DM60" i="19"/>
  <c r="DW40" i="19"/>
  <c r="DW48" i="19"/>
  <c r="DW56" i="19"/>
  <c r="BO40" i="19"/>
  <c r="BO56" i="19"/>
  <c r="BT16" i="19"/>
  <c r="BT32" i="19"/>
  <c r="BT48" i="19"/>
  <c r="BY16" i="19"/>
  <c r="BY24" i="19"/>
  <c r="BY32" i="19"/>
  <c r="BY40" i="19"/>
  <c r="CS10" i="19"/>
  <c r="CS18" i="19"/>
  <c r="DC28" i="19"/>
  <c r="DC60" i="19"/>
  <c r="DH20" i="19"/>
  <c r="DR30" i="19"/>
  <c r="DR46" i="19"/>
  <c r="DW19" i="19"/>
  <c r="DW35" i="19"/>
  <c r="DW43" i="19"/>
  <c r="DW51" i="19"/>
  <c r="DW59" i="19"/>
  <c r="BO22" i="19"/>
  <c r="BO38" i="19"/>
  <c r="BO54" i="19"/>
  <c r="BT14" i="19"/>
  <c r="BT30" i="19"/>
  <c r="BT46" i="19"/>
  <c r="BT62" i="19"/>
  <c r="BY11" i="19"/>
  <c r="BY19" i="19"/>
  <c r="BY27" i="19"/>
  <c r="BY35" i="19"/>
  <c r="BY43" i="19"/>
  <c r="BY51" i="19"/>
  <c r="BY61" i="19"/>
  <c r="CD10" i="19"/>
  <c r="CD26" i="19"/>
  <c r="CD42" i="19"/>
  <c r="CD58" i="19"/>
  <c r="CI22" i="19"/>
  <c r="CI38" i="19"/>
  <c r="CI54" i="19"/>
  <c r="CN14" i="19"/>
  <c r="CN30" i="19"/>
  <c r="CN46" i="19"/>
  <c r="CS13" i="19"/>
  <c r="CS21" i="19"/>
  <c r="CS29" i="19"/>
  <c r="CS37" i="19"/>
  <c r="CS45" i="19"/>
  <c r="CS53" i="19"/>
  <c r="CS58" i="19"/>
  <c r="CX12" i="19"/>
  <c r="CX28" i="19"/>
  <c r="DC10" i="19"/>
  <c r="DC26" i="19"/>
  <c r="DC42" i="19"/>
  <c r="DC58" i="19"/>
  <c r="DH18" i="19"/>
  <c r="DH34" i="19"/>
  <c r="DH42" i="19"/>
  <c r="DH50" i="19"/>
  <c r="DH58" i="19"/>
  <c r="DM10" i="19"/>
  <c r="DM18" i="19"/>
  <c r="DM26" i="19"/>
  <c r="DM34" i="19"/>
  <c r="DM42" i="19"/>
  <c r="DM50" i="19"/>
  <c r="DM58" i="19"/>
  <c r="DR12" i="19"/>
  <c r="DR28" i="19"/>
  <c r="DR44" i="19"/>
  <c r="DR54" i="19"/>
  <c r="DR62" i="19"/>
  <c r="DW14" i="19"/>
  <c r="DW22" i="19"/>
  <c r="DW30" i="19"/>
  <c r="DW38" i="19"/>
  <c r="DW46" i="19"/>
  <c r="DW54" i="19"/>
  <c r="DW62" i="19"/>
  <c r="AQ44" i="19"/>
  <c r="AO44" i="19"/>
  <c r="AN44" i="19"/>
  <c r="T22" i="19"/>
  <c r="T20" i="19"/>
  <c r="T18" i="19"/>
  <c r="T16" i="19"/>
  <c r="T14" i="19"/>
  <c r="T12" i="19"/>
  <c r="T10" i="19"/>
  <c r="K22" i="13"/>
  <c r="W23" i="19" s="1"/>
  <c r="K21" i="13"/>
  <c r="W22" i="19" s="1"/>
  <c r="K20" i="13"/>
  <c r="W21" i="19" s="1"/>
  <c r="K19" i="13"/>
  <c r="W20" i="19" s="1"/>
  <c r="K18" i="13"/>
  <c r="W19" i="19" s="1"/>
  <c r="K17" i="13"/>
  <c r="W18" i="19" s="1"/>
  <c r="K16" i="13"/>
  <c r="W17" i="19" s="1"/>
  <c r="K15" i="13"/>
  <c r="W16" i="19" s="1"/>
  <c r="K14" i="13"/>
  <c r="W15" i="19" s="1"/>
  <c r="K13" i="13"/>
  <c r="W14" i="19" s="1"/>
  <c r="K12" i="13"/>
  <c r="W13" i="19" s="1"/>
  <c r="K11" i="13"/>
  <c r="W12" i="19" s="1"/>
  <c r="K10" i="13"/>
  <c r="W11" i="19" s="1"/>
  <c r="K9" i="13"/>
  <c r="W10" i="19" s="1"/>
  <c r="H42" i="12"/>
  <c r="AN43" i="19" s="1"/>
  <c r="K41" i="12"/>
  <c r="AQ42" i="19" s="1"/>
  <c r="I41" i="12"/>
  <c r="AO42" i="19" s="1"/>
  <c r="H40" i="12"/>
  <c r="AN41" i="19" s="1"/>
  <c r="K39" i="12"/>
  <c r="AQ40" i="19" s="1"/>
  <c r="I39" i="12"/>
  <c r="AO40" i="19" s="1"/>
  <c r="H38" i="12"/>
  <c r="AN39" i="19" s="1"/>
  <c r="K37" i="12"/>
  <c r="AQ38" i="19" s="1"/>
  <c r="I37" i="12"/>
  <c r="AO38" i="19" s="1"/>
  <c r="H36" i="12"/>
  <c r="AN37" i="19" s="1"/>
  <c r="K35" i="12"/>
  <c r="AQ36" i="19" s="1"/>
  <c r="I35" i="12"/>
  <c r="AO36" i="19" s="1"/>
  <c r="H34" i="12"/>
  <c r="AN35" i="19" s="1"/>
  <c r="K33" i="12"/>
  <c r="AQ34" i="19" s="1"/>
  <c r="I33" i="12"/>
  <c r="AO34" i="19" s="1"/>
  <c r="H32" i="12"/>
  <c r="AN33" i="19" s="1"/>
  <c r="K31" i="12"/>
  <c r="AQ32" i="19" s="1"/>
  <c r="I31" i="12"/>
  <c r="AO32" i="19" s="1"/>
  <c r="H30" i="12"/>
  <c r="AN31" i="19" s="1"/>
  <c r="K29" i="12"/>
  <c r="AQ30" i="19" s="1"/>
  <c r="I29" i="12"/>
  <c r="AO30" i="19" s="1"/>
  <c r="H28" i="12"/>
  <c r="AN29" i="19" s="1"/>
  <c r="K27" i="12"/>
  <c r="AQ28" i="19" s="1"/>
  <c r="I27" i="12"/>
  <c r="AO28" i="19" s="1"/>
  <c r="H26" i="12"/>
  <c r="AN27" i="19" s="1"/>
  <c r="K25" i="12"/>
  <c r="AQ26" i="19" s="1"/>
  <c r="I25" i="12"/>
  <c r="AO26" i="19" s="1"/>
  <c r="H24" i="12"/>
  <c r="AN25" i="19" s="1"/>
  <c r="K23" i="12"/>
  <c r="AQ24" i="19" s="1"/>
  <c r="I23" i="12"/>
  <c r="AO24" i="19" s="1"/>
  <c r="H22" i="12"/>
  <c r="AN23" i="19" s="1"/>
  <c r="K21" i="12"/>
  <c r="AQ22" i="19" s="1"/>
  <c r="I21" i="12"/>
  <c r="AO22" i="19" s="1"/>
  <c r="I20" i="12"/>
  <c r="H20" i="12"/>
  <c r="AN21" i="19" s="1"/>
  <c r="K19" i="12"/>
  <c r="AQ20" i="19" s="1"/>
  <c r="I19" i="12"/>
  <c r="AO20" i="19" s="1"/>
  <c r="H18" i="12"/>
  <c r="AN19" i="19" s="1"/>
  <c r="K17" i="12"/>
  <c r="AQ18" i="19" s="1"/>
  <c r="I17" i="12"/>
  <c r="AO18" i="19" s="1"/>
  <c r="H16" i="12"/>
  <c r="AN17" i="19" s="1"/>
  <c r="K15" i="12"/>
  <c r="AQ16" i="19" s="1"/>
  <c r="I15" i="12"/>
  <c r="AO16" i="19" s="1"/>
  <c r="H14" i="12"/>
  <c r="AN15" i="19" s="1"/>
  <c r="K13" i="12"/>
  <c r="AQ14" i="19" s="1"/>
  <c r="I13" i="12"/>
  <c r="AO14" i="19" s="1"/>
  <c r="H12" i="12"/>
  <c r="AN13" i="19" s="1"/>
  <c r="K11" i="12"/>
  <c r="AQ12" i="19" s="1"/>
  <c r="I11" i="12"/>
  <c r="AO12" i="19" s="1"/>
  <c r="H10" i="12"/>
  <c r="AN11" i="19" s="1"/>
  <c r="K9" i="12"/>
  <c r="AQ10" i="19" s="1"/>
  <c r="I9" i="12"/>
  <c r="AO10" i="19" s="1"/>
  <c r="AT63" i="19"/>
  <c r="AS63" i="19"/>
  <c r="AT62" i="19"/>
  <c r="AS62" i="19"/>
  <c r="AT61" i="19"/>
  <c r="AS61" i="19"/>
  <c r="AT60" i="19"/>
  <c r="AS60" i="19"/>
  <c r="AT59" i="19"/>
  <c r="AS59" i="19"/>
  <c r="AT58" i="19"/>
  <c r="AS58" i="19"/>
  <c r="AT57" i="19"/>
  <c r="AS57" i="19"/>
  <c r="AT56" i="19"/>
  <c r="AS56" i="19"/>
  <c r="AT55" i="19"/>
  <c r="AS55" i="19"/>
  <c r="AT54" i="19"/>
  <c r="AS54" i="19"/>
  <c r="AT53" i="19"/>
  <c r="AS53" i="19"/>
  <c r="AT52" i="19"/>
  <c r="AS52" i="19"/>
  <c r="AT51" i="19"/>
  <c r="AS51" i="19"/>
  <c r="AT50" i="19"/>
  <c r="AS50" i="19"/>
  <c r="AT49" i="19"/>
  <c r="AS49" i="19"/>
  <c r="AT48" i="19"/>
  <c r="AS48" i="19"/>
  <c r="AT47" i="19"/>
  <c r="AS47" i="19"/>
  <c r="AT46" i="19"/>
  <c r="AS46" i="19"/>
  <c r="AT45" i="19"/>
  <c r="AS45" i="19"/>
  <c r="AT44" i="19"/>
  <c r="AS44" i="19"/>
  <c r="AT43" i="19"/>
  <c r="AS43" i="19"/>
  <c r="AT42" i="19"/>
  <c r="AS42" i="19"/>
  <c r="AT41" i="19"/>
  <c r="AS41" i="19"/>
  <c r="AT40" i="19"/>
  <c r="AS40" i="19"/>
  <c r="AT39" i="19"/>
  <c r="AS39" i="19"/>
  <c r="AT38" i="19"/>
  <c r="AS38" i="19"/>
  <c r="AT37" i="19"/>
  <c r="AS37" i="19"/>
  <c r="AT36" i="19"/>
  <c r="AS36" i="19"/>
  <c r="AT35" i="19"/>
  <c r="AS35" i="19"/>
  <c r="AT34" i="19"/>
  <c r="AS34" i="19"/>
  <c r="AT33" i="19"/>
  <c r="AS33" i="19"/>
  <c r="AT32" i="19"/>
  <c r="AS32" i="19"/>
  <c r="AT31" i="19"/>
  <c r="AS31" i="19"/>
  <c r="AT30" i="19"/>
  <c r="AS30" i="19"/>
  <c r="AT29" i="19"/>
  <c r="AS29" i="19"/>
  <c r="AT28" i="19"/>
  <c r="AS28" i="19"/>
  <c r="AT27" i="19"/>
  <c r="AS27" i="19"/>
  <c r="AT26" i="19"/>
  <c r="AS26" i="19"/>
  <c r="AT25" i="19"/>
  <c r="AS25" i="19"/>
  <c r="AT24" i="19"/>
  <c r="AS24" i="19"/>
  <c r="AT23" i="19"/>
  <c r="AS23" i="19"/>
  <c r="AT22" i="19"/>
  <c r="AS22" i="19"/>
  <c r="AT21" i="19"/>
  <c r="AS21" i="19"/>
  <c r="AT20" i="19"/>
  <c r="AS20" i="19"/>
  <c r="AT19" i="19"/>
  <c r="AS19" i="19"/>
  <c r="AT18" i="19"/>
  <c r="AS18" i="19"/>
  <c r="AT17" i="19"/>
  <c r="AS17" i="19"/>
  <c r="AT16" i="19"/>
  <c r="AS16" i="19"/>
  <c r="AT15" i="19"/>
  <c r="AS15" i="19"/>
  <c r="AT14" i="19"/>
  <c r="AS14" i="19"/>
  <c r="AT13" i="19"/>
  <c r="AS13" i="19"/>
  <c r="AT12" i="19"/>
  <c r="AS12" i="19"/>
  <c r="AT11" i="19"/>
  <c r="AS11" i="19"/>
  <c r="AT10" i="19"/>
  <c r="AS10" i="19"/>
  <c r="AU10" i="19" s="1"/>
  <c r="CC24" i="13"/>
  <c r="BX24" i="13"/>
  <c r="BS24" i="13"/>
  <c r="BN24" i="13"/>
  <c r="BI24" i="13"/>
  <c r="BD24" i="13"/>
  <c r="AY24" i="13"/>
  <c r="AT24" i="13"/>
  <c r="AO24" i="13"/>
  <c r="AJ24" i="13"/>
  <c r="AE24" i="13"/>
  <c r="Z24" i="13"/>
  <c r="U24" i="13"/>
  <c r="P24" i="13"/>
  <c r="F24" i="13"/>
  <c r="AY44" i="12"/>
  <c r="AT44" i="12"/>
  <c r="AO44" i="12"/>
  <c r="AJ44" i="12"/>
  <c r="AE44" i="12"/>
  <c r="Z44" i="12"/>
  <c r="U44" i="12"/>
  <c r="P44" i="12"/>
  <c r="F44" i="12"/>
  <c r="AL63" i="19"/>
  <c r="AL62" i="19"/>
  <c r="AL61" i="19"/>
  <c r="AL60" i="19"/>
  <c r="AL59" i="19"/>
  <c r="AL58" i="19"/>
  <c r="AL57" i="19"/>
  <c r="AL56" i="19"/>
  <c r="AL55" i="19"/>
  <c r="AL54" i="19"/>
  <c r="AL53" i="19"/>
  <c r="AL52" i="19"/>
  <c r="AL51" i="19"/>
  <c r="AL50" i="19"/>
  <c r="AL49" i="19"/>
  <c r="AL48" i="19"/>
  <c r="AL47" i="19"/>
  <c r="AL46" i="19"/>
  <c r="AL45" i="19"/>
  <c r="AL44" i="19"/>
  <c r="AL43" i="19"/>
  <c r="AL42" i="19"/>
  <c r="AL41" i="19"/>
  <c r="AL40" i="19"/>
  <c r="AL39" i="19"/>
  <c r="AL38" i="19"/>
  <c r="AL37" i="19"/>
  <c r="AL36" i="19"/>
  <c r="AL35" i="19"/>
  <c r="AL34" i="19"/>
  <c r="AL33" i="19"/>
  <c r="AL32" i="19"/>
  <c r="AL31" i="19"/>
  <c r="AL30" i="19"/>
  <c r="AL29" i="19"/>
  <c r="AL28" i="19"/>
  <c r="AL27" i="19"/>
  <c r="AL26" i="19"/>
  <c r="AL25" i="19"/>
  <c r="AL24" i="19"/>
  <c r="AL23" i="19"/>
  <c r="AL22" i="19"/>
  <c r="AL21" i="19"/>
  <c r="AB21" i="19" s="1"/>
  <c r="AL20" i="19"/>
  <c r="AL19" i="19"/>
  <c r="AL18" i="19"/>
  <c r="AL17" i="19"/>
  <c r="AL16" i="19"/>
  <c r="AL15" i="19"/>
  <c r="AL14" i="19"/>
  <c r="AL13" i="19"/>
  <c r="AL12" i="19"/>
  <c r="AL11" i="19"/>
  <c r="AL10" i="19"/>
  <c r="AL65" i="19"/>
  <c r="AG63" i="19"/>
  <c r="AG62" i="19"/>
  <c r="AG61" i="19"/>
  <c r="AG60" i="19"/>
  <c r="AG59" i="19"/>
  <c r="AB59" i="19" s="1"/>
  <c r="AG58" i="19"/>
  <c r="AG57" i="19"/>
  <c r="AG56" i="19"/>
  <c r="AG55" i="19"/>
  <c r="AG54" i="19"/>
  <c r="AG53" i="19"/>
  <c r="AG52" i="19"/>
  <c r="AG51" i="19"/>
  <c r="AG50" i="19"/>
  <c r="AG49" i="19"/>
  <c r="AB49" i="19" s="1"/>
  <c r="AG48" i="19"/>
  <c r="AG47" i="19"/>
  <c r="AG46" i="19"/>
  <c r="AG45" i="19"/>
  <c r="AG44" i="19"/>
  <c r="AG43" i="19"/>
  <c r="AB43" i="19" s="1"/>
  <c r="AG42" i="19"/>
  <c r="AG41" i="19"/>
  <c r="AB41" i="19" s="1"/>
  <c r="AG40" i="19"/>
  <c r="AG39" i="19"/>
  <c r="AG38" i="19"/>
  <c r="AG37" i="19"/>
  <c r="AG36" i="19"/>
  <c r="AG35" i="19"/>
  <c r="AB35" i="19" s="1"/>
  <c r="AG34" i="19"/>
  <c r="AG33" i="19"/>
  <c r="AG32" i="19"/>
  <c r="AG31" i="19"/>
  <c r="AG30" i="19"/>
  <c r="AG29" i="19"/>
  <c r="AG28" i="19"/>
  <c r="AG27" i="19"/>
  <c r="AG26" i="19"/>
  <c r="AG25" i="19"/>
  <c r="AB25" i="19" s="1"/>
  <c r="AG24" i="19"/>
  <c r="AG23" i="19"/>
  <c r="AG22" i="19"/>
  <c r="AG21" i="19"/>
  <c r="AG20" i="19"/>
  <c r="AG19" i="19"/>
  <c r="AB19" i="19" s="1"/>
  <c r="AG18" i="19"/>
  <c r="AG17" i="19"/>
  <c r="AB17" i="19" s="1"/>
  <c r="AG16" i="19"/>
  <c r="AG15" i="19"/>
  <c r="AG14" i="19"/>
  <c r="AG13" i="19"/>
  <c r="AG12" i="19"/>
  <c r="AG11" i="19"/>
  <c r="AB11" i="19" s="1"/>
  <c r="AG10" i="19"/>
  <c r="R63" i="19"/>
  <c r="R62" i="19"/>
  <c r="R61" i="19"/>
  <c r="R60" i="19"/>
  <c r="R59" i="19"/>
  <c r="R58" i="19"/>
  <c r="R57" i="19"/>
  <c r="R56" i="19"/>
  <c r="R55" i="19"/>
  <c r="R54" i="19"/>
  <c r="R53" i="19"/>
  <c r="R52" i="19"/>
  <c r="R51" i="19"/>
  <c r="R50" i="19"/>
  <c r="R49" i="19"/>
  <c r="R48" i="19"/>
  <c r="R47" i="19"/>
  <c r="R46" i="19"/>
  <c r="R45" i="19"/>
  <c r="R44" i="19"/>
  <c r="R43" i="19"/>
  <c r="R42" i="19"/>
  <c r="R41" i="19"/>
  <c r="R40" i="19"/>
  <c r="R39" i="19"/>
  <c r="R38" i="19"/>
  <c r="R37" i="19"/>
  <c r="R36" i="19"/>
  <c r="R35" i="19"/>
  <c r="R34" i="19"/>
  <c r="R33" i="19"/>
  <c r="R32" i="19"/>
  <c r="R31" i="19"/>
  <c r="R30" i="19"/>
  <c r="R29" i="19"/>
  <c r="R28" i="19"/>
  <c r="R27" i="19"/>
  <c r="R26" i="19"/>
  <c r="R25" i="19"/>
  <c r="R24" i="19"/>
  <c r="R23" i="19"/>
  <c r="R22" i="19"/>
  <c r="R21" i="19"/>
  <c r="R20" i="19"/>
  <c r="R19" i="19"/>
  <c r="R18" i="19"/>
  <c r="R17" i="19"/>
  <c r="R16" i="19"/>
  <c r="R15" i="19"/>
  <c r="R14" i="19"/>
  <c r="R13" i="19"/>
  <c r="R12" i="19"/>
  <c r="R11" i="19"/>
  <c r="R10" i="19"/>
  <c r="N65" i="19"/>
  <c r="DD65" i="19"/>
  <c r="M65" i="19"/>
  <c r="L65" i="19"/>
  <c r="J65" i="19"/>
  <c r="I65" i="19"/>
  <c r="H65" i="19"/>
  <c r="G65" i="19"/>
  <c r="F65" i="19"/>
  <c r="E65" i="19"/>
  <c r="AB33" i="19" l="1"/>
  <c r="AB57" i="19"/>
  <c r="AB37" i="19"/>
  <c r="AP44" i="19"/>
  <c r="AB53" i="19"/>
  <c r="AB27" i="19"/>
  <c r="AB51" i="19"/>
  <c r="AB12" i="19"/>
  <c r="AB20" i="19"/>
  <c r="AB28" i="19"/>
  <c r="AB36" i="19"/>
  <c r="AB44" i="19"/>
  <c r="AB52" i="19"/>
  <c r="AB60" i="19"/>
  <c r="AB29" i="19"/>
  <c r="AB61" i="19"/>
  <c r="AB13" i="19"/>
  <c r="AB45" i="19"/>
  <c r="AU32" i="19"/>
  <c r="AU48" i="19"/>
  <c r="AU56" i="19"/>
  <c r="AB48" i="19"/>
  <c r="R65" i="19"/>
  <c r="AB10" i="19"/>
  <c r="AB18" i="19"/>
  <c r="AB26" i="19"/>
  <c r="AB34" i="19"/>
  <c r="AB42" i="19"/>
  <c r="AB50" i="19"/>
  <c r="AB58" i="19"/>
  <c r="CE65" i="19"/>
  <c r="AB32" i="19"/>
  <c r="BZ65" i="19"/>
  <c r="K65" i="19"/>
  <c r="R67" i="19" s="1"/>
  <c r="BF65" i="19"/>
  <c r="CJ65" i="19"/>
  <c r="DS65" i="19"/>
  <c r="AB16" i="19"/>
  <c r="DX65" i="19"/>
  <c r="AB24" i="19"/>
  <c r="DI65" i="19"/>
  <c r="BP65" i="19"/>
  <c r="CT65" i="19"/>
  <c r="AB56" i="19"/>
  <c r="AB14" i="19"/>
  <c r="AB22" i="19"/>
  <c r="AB30" i="19"/>
  <c r="AB38" i="19"/>
  <c r="AB46" i="19"/>
  <c r="AB54" i="19"/>
  <c r="AB62" i="19"/>
  <c r="CY65" i="19"/>
  <c r="AB40" i="19"/>
  <c r="AB15" i="19"/>
  <c r="AB23" i="19"/>
  <c r="AB31" i="19"/>
  <c r="AB39" i="19"/>
  <c r="AB47" i="19"/>
  <c r="AB55" i="19"/>
  <c r="AB63" i="19"/>
  <c r="AU43" i="19"/>
  <c r="AU47" i="19"/>
  <c r="AU59" i="19"/>
  <c r="AU63" i="19"/>
  <c r="W65" i="19"/>
  <c r="K67" i="19" s="1"/>
  <c r="J20" i="12"/>
  <c r="AO21" i="19"/>
  <c r="AP21" i="19" s="1"/>
  <c r="AU40" i="19"/>
  <c r="AU24" i="19"/>
  <c r="AU28" i="19"/>
  <c r="AU36" i="19"/>
  <c r="AU44" i="19"/>
  <c r="AU60" i="19"/>
  <c r="AU13" i="19"/>
  <c r="AU17" i="19"/>
  <c r="AU21" i="19"/>
  <c r="AU25" i="19"/>
  <c r="AU29" i="19"/>
  <c r="AU33" i="19"/>
  <c r="AU37" i="19"/>
  <c r="AU41" i="19"/>
  <c r="AU45" i="19"/>
  <c r="AU49" i="19"/>
  <c r="AU53" i="19"/>
  <c r="AU57" i="19"/>
  <c r="AU61" i="19"/>
  <c r="AU14" i="19"/>
  <c r="AU18" i="19"/>
  <c r="AU22" i="19"/>
  <c r="AU26" i="19"/>
  <c r="AU30" i="19"/>
  <c r="AU34" i="19"/>
  <c r="AU38" i="19"/>
  <c r="AU42" i="19"/>
  <c r="AU46" i="19"/>
  <c r="AU50" i="19"/>
  <c r="AU54" i="19"/>
  <c r="AU58" i="19"/>
  <c r="AU62" i="19"/>
  <c r="AU16" i="19"/>
  <c r="AU12" i="19"/>
  <c r="AU11" i="19"/>
  <c r="AU15" i="19"/>
  <c r="AU19" i="19"/>
  <c r="AU23" i="19"/>
  <c r="AU27" i="19"/>
  <c r="AU31" i="19"/>
  <c r="AU35" i="19"/>
  <c r="AU39" i="19"/>
  <c r="AU20" i="19"/>
  <c r="AU52" i="19"/>
  <c r="AU51" i="19"/>
  <c r="AU55" i="19"/>
  <c r="K14" i="12"/>
  <c r="AQ15" i="19" s="1"/>
  <c r="K32" i="12"/>
  <c r="AQ33" i="19" s="1"/>
  <c r="K40" i="12"/>
  <c r="AQ41" i="19" s="1"/>
  <c r="K24" i="12"/>
  <c r="AQ25" i="19" s="1"/>
  <c r="K22" i="12"/>
  <c r="AQ23" i="19" s="1"/>
  <c r="K30" i="12"/>
  <c r="AQ31" i="19" s="1"/>
  <c r="K38" i="12"/>
  <c r="AQ39" i="19" s="1"/>
  <c r="H15" i="12"/>
  <c r="AN16" i="19" s="1"/>
  <c r="AP16" i="19" s="1"/>
  <c r="H23" i="12"/>
  <c r="I28" i="12"/>
  <c r="I36" i="12"/>
  <c r="I12" i="12"/>
  <c r="K16" i="12"/>
  <c r="AQ17" i="19" s="1"/>
  <c r="H39" i="12"/>
  <c r="H31" i="12"/>
  <c r="I14" i="12"/>
  <c r="K12" i="12"/>
  <c r="AQ13" i="19" s="1"/>
  <c r="K20" i="12"/>
  <c r="AQ21" i="19" s="1"/>
  <c r="K28" i="12"/>
  <c r="AQ29" i="19" s="1"/>
  <c r="K36" i="12"/>
  <c r="AQ37" i="19" s="1"/>
  <c r="I22" i="12"/>
  <c r="I30" i="12"/>
  <c r="I38" i="12"/>
  <c r="K10" i="12"/>
  <c r="AQ11" i="19" s="1"/>
  <c r="K18" i="12"/>
  <c r="AQ19" i="19" s="1"/>
  <c r="K26" i="12"/>
  <c r="AQ27" i="19" s="1"/>
  <c r="K34" i="12"/>
  <c r="AQ35" i="19" s="1"/>
  <c r="K42" i="12"/>
  <c r="AQ43" i="19" s="1"/>
  <c r="H11" i="12"/>
  <c r="H19" i="12"/>
  <c r="H27" i="12"/>
  <c r="H35" i="12"/>
  <c r="H9" i="12"/>
  <c r="H17" i="12"/>
  <c r="H25" i="12"/>
  <c r="H33" i="12"/>
  <c r="H41" i="12"/>
  <c r="I10" i="12"/>
  <c r="H13" i="12"/>
  <c r="I18" i="12"/>
  <c r="H21" i="12"/>
  <c r="I26" i="12"/>
  <c r="H29" i="12"/>
  <c r="I34" i="12"/>
  <c r="H37" i="12"/>
  <c r="I42" i="12"/>
  <c r="I16" i="12"/>
  <c r="I24" i="12"/>
  <c r="I32" i="12"/>
  <c r="I40" i="12"/>
  <c r="CO65" i="19"/>
  <c r="BU65" i="19"/>
  <c r="BK65" i="19"/>
  <c r="BA65" i="19"/>
  <c r="K24" i="13"/>
  <c r="EC65" i="19"/>
  <c r="AV63" i="19"/>
  <c r="AV62" i="19"/>
  <c r="AV61" i="19"/>
  <c r="AV60" i="19"/>
  <c r="AV59" i="19"/>
  <c r="AV58" i="19"/>
  <c r="AV57" i="19"/>
  <c r="AV56" i="19"/>
  <c r="AV55" i="19"/>
  <c r="AV54" i="19"/>
  <c r="AV53" i="19"/>
  <c r="AV52" i="19"/>
  <c r="AV51" i="19"/>
  <c r="AV50" i="19"/>
  <c r="AV49" i="19"/>
  <c r="AV48" i="19"/>
  <c r="AV47" i="19"/>
  <c r="AV46" i="19"/>
  <c r="AV45" i="19"/>
  <c r="AV44" i="19"/>
  <c r="AV43" i="19"/>
  <c r="AV42" i="19"/>
  <c r="AV41" i="19"/>
  <c r="AV40" i="19"/>
  <c r="AV39" i="19"/>
  <c r="AV38" i="19"/>
  <c r="AV37" i="19"/>
  <c r="AV36" i="19"/>
  <c r="AV35" i="19"/>
  <c r="AV34" i="19"/>
  <c r="AV33" i="19"/>
  <c r="AV32" i="19"/>
  <c r="AV31" i="19"/>
  <c r="AV30" i="19"/>
  <c r="AV29" i="19"/>
  <c r="AV28" i="19"/>
  <c r="AV27" i="19"/>
  <c r="AV26" i="19"/>
  <c r="AV25" i="19"/>
  <c r="AV24" i="19"/>
  <c r="AV23" i="19"/>
  <c r="AV22" i="19"/>
  <c r="AV21" i="19"/>
  <c r="AV20" i="19"/>
  <c r="AV19" i="19"/>
  <c r="AV18" i="19"/>
  <c r="AV17" i="19"/>
  <c r="AV16" i="19"/>
  <c r="AV15" i="19"/>
  <c r="AV14" i="19"/>
  <c r="AV13" i="19"/>
  <c r="AV12" i="19"/>
  <c r="AV11" i="19"/>
  <c r="AV10" i="19"/>
  <c r="J15" i="12" l="1"/>
  <c r="AG65" i="19"/>
  <c r="AQ65" i="19"/>
  <c r="J22" i="12"/>
  <c r="AO23" i="19"/>
  <c r="AP23" i="19" s="1"/>
  <c r="J31" i="12"/>
  <c r="AN32" i="19"/>
  <c r="AP32" i="19" s="1"/>
  <c r="J13" i="12"/>
  <c r="AN14" i="19"/>
  <c r="AP14" i="19" s="1"/>
  <c r="J9" i="12"/>
  <c r="AN10" i="19"/>
  <c r="AP10" i="19" s="1"/>
  <c r="J39" i="12"/>
  <c r="AN40" i="19"/>
  <c r="AP40" i="19" s="1"/>
  <c r="J35" i="12"/>
  <c r="AN36" i="19"/>
  <c r="AP36" i="19" s="1"/>
  <c r="J27" i="12"/>
  <c r="AN28" i="19"/>
  <c r="AP28" i="19" s="1"/>
  <c r="J12" i="12"/>
  <c r="AO13" i="19"/>
  <c r="AP13" i="19" s="1"/>
  <c r="J18" i="12"/>
  <c r="AO19" i="19"/>
  <c r="AP19" i="19" s="1"/>
  <c r="J42" i="12"/>
  <c r="AO43" i="19"/>
  <c r="AP43" i="19" s="1"/>
  <c r="J38" i="12"/>
  <c r="AO39" i="19"/>
  <c r="AP39" i="19" s="1"/>
  <c r="J32" i="12"/>
  <c r="AO33" i="19"/>
  <c r="AP33" i="19" s="1"/>
  <c r="J34" i="12"/>
  <c r="AO35" i="19"/>
  <c r="AP35" i="19" s="1"/>
  <c r="J19" i="12"/>
  <c r="AN20" i="19"/>
  <c r="AP20" i="19" s="1"/>
  <c r="J30" i="12"/>
  <c r="AO31" i="19"/>
  <c r="AP31" i="19" s="1"/>
  <c r="J36" i="12"/>
  <c r="AO37" i="19"/>
  <c r="AP37" i="19" s="1"/>
  <c r="J24" i="12"/>
  <c r="AO25" i="19"/>
  <c r="AP25" i="19" s="1"/>
  <c r="J29" i="12"/>
  <c r="AN30" i="19"/>
  <c r="AP30" i="19" s="1"/>
  <c r="J41" i="12"/>
  <c r="AN42" i="19"/>
  <c r="AP42" i="19" s="1"/>
  <c r="J11" i="12"/>
  <c r="AN12" i="19"/>
  <c r="AP12" i="19" s="1"/>
  <c r="J28" i="12"/>
  <c r="AO29" i="19"/>
  <c r="AP29" i="19" s="1"/>
  <c r="J37" i="12"/>
  <c r="AN38" i="19"/>
  <c r="AP38" i="19" s="1"/>
  <c r="J33" i="12"/>
  <c r="AN34" i="19"/>
  <c r="AP34" i="19" s="1"/>
  <c r="J14" i="12"/>
  <c r="AO15" i="19"/>
  <c r="AP15" i="19" s="1"/>
  <c r="J23" i="12"/>
  <c r="AN24" i="19"/>
  <c r="AP24" i="19" s="1"/>
  <c r="J17" i="12"/>
  <c r="AN18" i="19"/>
  <c r="AP18" i="19" s="1"/>
  <c r="J10" i="12"/>
  <c r="AO11" i="19"/>
  <c r="AP11" i="19" s="1"/>
  <c r="J40" i="12"/>
  <c r="AO41" i="19"/>
  <c r="AP41" i="19" s="1"/>
  <c r="J16" i="12"/>
  <c r="AO17" i="19"/>
  <c r="AP17" i="19" s="1"/>
  <c r="J26" i="12"/>
  <c r="AO27" i="19"/>
  <c r="AP27" i="19" s="1"/>
  <c r="J21" i="12"/>
  <c r="AN22" i="19"/>
  <c r="AP22" i="19" s="1"/>
  <c r="J25" i="12"/>
  <c r="AN26" i="19"/>
  <c r="AP26" i="19" s="1"/>
  <c r="K44" i="12"/>
  <c r="AB65" i="19"/>
  <c r="R5" i="20"/>
  <c r="F9" i="20"/>
  <c r="E9" i="20"/>
  <c r="E67" i="19" l="1"/>
  <c r="AB67" i="19"/>
  <c r="P58" i="20"/>
  <c r="P57" i="20"/>
  <c r="H7" i="12"/>
  <c r="G99" i="18" l="1"/>
  <c r="G98" i="18"/>
  <c r="G97" i="18"/>
  <c r="H98" i="18"/>
  <c r="H97" i="18"/>
  <c r="H99" i="18"/>
  <c r="D97" i="18"/>
  <c r="D96" i="18"/>
  <c r="D95" i="18"/>
  <c r="D74" i="18"/>
  <c r="D75" i="18"/>
  <c r="D73" i="18"/>
  <c r="C97" i="18"/>
  <c r="B96" i="18"/>
  <c r="C96" i="18"/>
  <c r="C95" i="18"/>
  <c r="B75" i="18"/>
  <c r="C75" i="18"/>
  <c r="C74" i="18"/>
  <c r="B74" i="18"/>
  <c r="C73" i="18"/>
  <c r="DK8" i="19" l="1"/>
  <c r="E61" i="20"/>
  <c r="Q29" i="20"/>
  <c r="I18" i="20"/>
  <c r="H16" i="20"/>
  <c r="H17" i="20"/>
  <c r="F15" i="20"/>
  <c r="N25" i="20"/>
  <c r="M23" i="20"/>
  <c r="H43" i="20"/>
  <c r="AS8" i="19" l="1"/>
  <c r="H7" i="13"/>
  <c r="N56" i="20"/>
  <c r="E62" i="20"/>
  <c r="P9" i="20"/>
  <c r="D61" i="20"/>
  <c r="E38" i="20"/>
  <c r="P28" i="20"/>
  <c r="E37" i="20"/>
  <c r="K20" i="20"/>
  <c r="O26" i="20"/>
  <c r="AV65" i="19" l="1"/>
  <c r="H67" i="19" s="1"/>
  <c r="DN65" i="19"/>
  <c r="D62" i="20"/>
  <c r="D59" i="20"/>
  <c r="D58" i="20"/>
  <c r="D57" i="20"/>
  <c r="D56" i="20"/>
  <c r="D55" i="20"/>
  <c r="D54" i="20"/>
  <c r="D53" i="20"/>
  <c r="D52" i="20"/>
  <c r="D51" i="20"/>
  <c r="D50" i="20"/>
  <c r="D49" i="20"/>
  <c r="D48" i="20"/>
  <c r="K9" i="20"/>
  <c r="D47" i="20"/>
  <c r="D46" i="20"/>
  <c r="D45" i="20"/>
  <c r="I9" i="20"/>
  <c r="D44" i="20"/>
  <c r="D43" i="20"/>
  <c r="D42" i="20"/>
  <c r="D41" i="20"/>
  <c r="D40" i="20"/>
  <c r="D39" i="20"/>
  <c r="D38" i="20"/>
  <c r="D37" i="20"/>
  <c r="D35" i="20"/>
  <c r="D34" i="20"/>
  <c r="D33" i="20"/>
  <c r="D31" i="20"/>
  <c r="Q7" i="20"/>
  <c r="Q5" i="20" s="1"/>
  <c r="D29" i="20"/>
  <c r="D28" i="20"/>
  <c r="D27" i="20"/>
  <c r="O7" i="20"/>
  <c r="O5" i="20" s="1"/>
  <c r="D26" i="20"/>
  <c r="D25" i="20"/>
  <c r="D24" i="20"/>
  <c r="M7" i="20"/>
  <c r="M5" i="20" s="1"/>
  <c r="D23" i="20"/>
  <c r="D22" i="20"/>
  <c r="D21" i="20"/>
  <c r="K7" i="20"/>
  <c r="D20" i="20"/>
  <c r="D19" i="20"/>
  <c r="D18" i="20"/>
  <c r="D17" i="20"/>
  <c r="H7" i="20"/>
  <c r="F7" i="20"/>
  <c r="F5" i="20" s="1"/>
  <c r="D14" i="20"/>
  <c r="D13" i="20"/>
  <c r="E11" i="20"/>
  <c r="D11" i="20" s="1"/>
  <c r="S61" i="20" s="1"/>
  <c r="N7" i="20"/>
  <c r="J7" i="20"/>
  <c r="J5" i="20" s="1"/>
  <c r="G5" i="20"/>
  <c r="R60" i="20" l="1"/>
  <c r="D60" i="20" s="1"/>
  <c r="S62" i="20"/>
  <c r="S27" i="20"/>
  <c r="H9" i="20"/>
  <c r="K5" i="20"/>
  <c r="I7" i="20"/>
  <c r="I5" i="20" s="1"/>
  <c r="E7" i="20"/>
  <c r="N9" i="20"/>
  <c r="N5" i="20" s="1"/>
  <c r="L7" i="20"/>
  <c r="L5" i="20" s="1"/>
  <c r="D16" i="20"/>
  <c r="S22" i="20" s="1"/>
  <c r="P7" i="20"/>
  <c r="P5" i="20" s="1"/>
  <c r="D15" i="20"/>
  <c r="R30" i="20" l="1"/>
  <c r="D30" i="20" s="1"/>
  <c r="E5" i="20"/>
  <c r="H5" i="20"/>
  <c r="S11" i="20"/>
  <c r="R9" i="20"/>
  <c r="D9" i="20" s="1"/>
  <c r="S59" i="20" l="1"/>
  <c r="S43" i="20"/>
  <c r="S53" i="20"/>
  <c r="S40" i="20"/>
  <c r="S48" i="20"/>
  <c r="S33" i="20"/>
  <c r="S31" i="20"/>
  <c r="S46" i="20"/>
  <c r="S49" i="20"/>
  <c r="S58" i="20"/>
  <c r="S47" i="20"/>
  <c r="S52" i="20"/>
  <c r="S38" i="20"/>
  <c r="S60" i="20"/>
  <c r="S45" i="20"/>
  <c r="S41" i="20"/>
  <c r="S39" i="20"/>
  <c r="S56" i="20"/>
  <c r="S55" i="20"/>
  <c r="S57" i="20"/>
  <c r="S42" i="20"/>
  <c r="S35" i="20"/>
  <c r="S51" i="20"/>
  <c r="S44" i="20"/>
  <c r="S54" i="20"/>
  <c r="S34" i="20"/>
  <c r="S50" i="20"/>
  <c r="S37" i="20"/>
  <c r="S9" i="20" l="1"/>
  <c r="B47" i="18" l="1"/>
  <c r="AU7" i="19"/>
  <c r="AT7" i="19"/>
  <c r="AS7" i="19"/>
  <c r="J6" i="12"/>
  <c r="H6" i="12"/>
  <c r="I6" i="12"/>
  <c r="J6" i="13"/>
  <c r="I6" i="13"/>
  <c r="H6" i="13"/>
  <c r="EA65" i="19" l="1"/>
  <c r="DZ65" i="19"/>
  <c r="EB65" i="19"/>
  <c r="BJ65" i="19" l="1"/>
  <c r="BI65" i="19"/>
  <c r="BH65" i="19"/>
  <c r="BE65" i="19"/>
  <c r="BD65" i="19"/>
  <c r="BC65" i="19"/>
  <c r="AZ65" i="19"/>
  <c r="AY65" i="19"/>
  <c r="AX65" i="19"/>
  <c r="BY65" i="19"/>
  <c r="BX65" i="19"/>
  <c r="BW65" i="19"/>
  <c r="CG65" i="19"/>
  <c r="BR65" i="19"/>
  <c r="D65" i="19"/>
  <c r="C65" i="19"/>
  <c r="AJ63" i="19"/>
  <c r="AI63" i="19"/>
  <c r="AE63" i="19"/>
  <c r="AD63" i="19"/>
  <c r="P63" i="19"/>
  <c r="O63" i="19"/>
  <c r="AJ62" i="19"/>
  <c r="AK62" i="19" s="1"/>
  <c r="AE62" i="19"/>
  <c r="P62" i="19"/>
  <c r="Q62" i="19" s="1"/>
  <c r="AJ61" i="19"/>
  <c r="AI61" i="19"/>
  <c r="AE61" i="19"/>
  <c r="AD61" i="19"/>
  <c r="P61" i="19"/>
  <c r="O61" i="19"/>
  <c r="AJ60" i="19"/>
  <c r="AK60" i="19" s="1"/>
  <c r="AE60" i="19"/>
  <c r="AF60" i="19" s="1"/>
  <c r="P60" i="19"/>
  <c r="Q60" i="19" s="1"/>
  <c r="AJ59" i="19"/>
  <c r="AI59" i="19"/>
  <c r="AE59" i="19"/>
  <c r="AD59" i="19"/>
  <c r="P59" i="19"/>
  <c r="O59" i="19"/>
  <c r="AJ58" i="19"/>
  <c r="AK58" i="19" s="1"/>
  <c r="AE58" i="19"/>
  <c r="AF58" i="19" s="1"/>
  <c r="P58" i="19"/>
  <c r="Q58" i="19" s="1"/>
  <c r="AJ57" i="19"/>
  <c r="AI57" i="19"/>
  <c r="AE57" i="19"/>
  <c r="AD57" i="19"/>
  <c r="P57" i="19"/>
  <c r="O57" i="19"/>
  <c r="AJ56" i="19"/>
  <c r="AK56" i="19" s="1"/>
  <c r="AE56" i="19"/>
  <c r="P56" i="19"/>
  <c r="Q56" i="19" s="1"/>
  <c r="AJ55" i="19"/>
  <c r="AI55" i="19"/>
  <c r="AE55" i="19"/>
  <c r="AD55" i="19"/>
  <c r="P55" i="19"/>
  <c r="O55" i="19"/>
  <c r="AJ54" i="19"/>
  <c r="AK54" i="19" s="1"/>
  <c r="AE54" i="19"/>
  <c r="AF54" i="19" s="1"/>
  <c r="P54" i="19"/>
  <c r="Q54" i="19" s="1"/>
  <c r="AJ53" i="19"/>
  <c r="AI53" i="19"/>
  <c r="AE53" i="19"/>
  <c r="AD53" i="19"/>
  <c r="P53" i="19"/>
  <c r="O53" i="19"/>
  <c r="AJ52" i="19"/>
  <c r="AK52" i="19" s="1"/>
  <c r="AE52" i="19"/>
  <c r="AF52" i="19" s="1"/>
  <c r="P52" i="19"/>
  <c r="Q52" i="19" s="1"/>
  <c r="AJ51" i="19"/>
  <c r="AI51" i="19"/>
  <c r="AE51" i="19"/>
  <c r="AD51" i="19"/>
  <c r="P51" i="19"/>
  <c r="O51" i="19"/>
  <c r="AJ50" i="19"/>
  <c r="AK50" i="19" s="1"/>
  <c r="AE50" i="19"/>
  <c r="P50" i="19"/>
  <c r="Q50" i="19" s="1"/>
  <c r="AJ49" i="19"/>
  <c r="AI49" i="19"/>
  <c r="AE49" i="19"/>
  <c r="AD49" i="19"/>
  <c r="P49" i="19"/>
  <c r="O49" i="19"/>
  <c r="AJ48" i="19"/>
  <c r="AK48" i="19" s="1"/>
  <c r="AE48" i="19"/>
  <c r="AF48" i="19" s="1"/>
  <c r="P48" i="19"/>
  <c r="Q48" i="19" s="1"/>
  <c r="AJ47" i="19"/>
  <c r="AI47" i="19"/>
  <c r="AE47" i="19"/>
  <c r="AD47" i="19"/>
  <c r="P47" i="19"/>
  <c r="O47" i="19"/>
  <c r="AJ46" i="19"/>
  <c r="AK46" i="19" s="1"/>
  <c r="AE46" i="19"/>
  <c r="AF46" i="19" s="1"/>
  <c r="P46" i="19"/>
  <c r="Q46" i="19" s="1"/>
  <c r="AJ45" i="19"/>
  <c r="AI45" i="19"/>
  <c r="AE45" i="19"/>
  <c r="AD45" i="19"/>
  <c r="P45" i="19"/>
  <c r="O45" i="19"/>
  <c r="AJ44" i="19"/>
  <c r="AK44" i="19" s="1"/>
  <c r="AE44" i="19"/>
  <c r="P44" i="19"/>
  <c r="Q44" i="19" s="1"/>
  <c r="AJ43" i="19"/>
  <c r="AI43" i="19"/>
  <c r="AE43" i="19"/>
  <c r="AD43" i="19"/>
  <c r="P43" i="19"/>
  <c r="O43" i="19"/>
  <c r="AJ42" i="19"/>
  <c r="AK42" i="19" s="1"/>
  <c r="AE42" i="19"/>
  <c r="AF42" i="19" s="1"/>
  <c r="P42" i="19"/>
  <c r="Q42" i="19" s="1"/>
  <c r="AJ41" i="19"/>
  <c r="AI41" i="19"/>
  <c r="AE41" i="19"/>
  <c r="AD41" i="19"/>
  <c r="P41" i="19"/>
  <c r="O41" i="19"/>
  <c r="AJ40" i="19"/>
  <c r="AK40" i="19" s="1"/>
  <c r="AE40" i="19"/>
  <c r="AF40" i="19" s="1"/>
  <c r="P40" i="19"/>
  <c r="Q40" i="19" s="1"/>
  <c r="AJ39" i="19"/>
  <c r="AI39" i="19"/>
  <c r="AE39" i="19"/>
  <c r="AD39" i="19"/>
  <c r="P39" i="19"/>
  <c r="O39" i="19"/>
  <c r="AJ38" i="19"/>
  <c r="AE38" i="19"/>
  <c r="AF38" i="19" s="1"/>
  <c r="P38" i="19"/>
  <c r="Q38" i="19" s="1"/>
  <c r="AJ37" i="19"/>
  <c r="AI37" i="19"/>
  <c r="AE37" i="19"/>
  <c r="AD37" i="19"/>
  <c r="P37" i="19"/>
  <c r="O37" i="19"/>
  <c r="AJ36" i="19"/>
  <c r="AK36" i="19" s="1"/>
  <c r="AE36" i="19"/>
  <c r="AF36" i="19" s="1"/>
  <c r="P36" i="19"/>
  <c r="Q36" i="19" s="1"/>
  <c r="AJ35" i="19"/>
  <c r="AI35" i="19"/>
  <c r="AE35" i="19"/>
  <c r="AD35" i="19"/>
  <c r="P35" i="19"/>
  <c r="O35" i="19"/>
  <c r="AJ34" i="19"/>
  <c r="AK34" i="19" s="1"/>
  <c r="AE34" i="19"/>
  <c r="AF34" i="19" s="1"/>
  <c r="P34" i="19"/>
  <c r="Q34" i="19" s="1"/>
  <c r="AJ33" i="19"/>
  <c r="AI33" i="19"/>
  <c r="AE33" i="19"/>
  <c r="AD33" i="19"/>
  <c r="P33" i="19"/>
  <c r="O33" i="19"/>
  <c r="AJ32" i="19"/>
  <c r="AK32" i="19" s="1"/>
  <c r="AE32" i="19"/>
  <c r="P32" i="19"/>
  <c r="Q32" i="19" s="1"/>
  <c r="AJ31" i="19"/>
  <c r="AI31" i="19"/>
  <c r="AE31" i="19"/>
  <c r="AD31" i="19"/>
  <c r="P31" i="19"/>
  <c r="O31" i="19"/>
  <c r="AJ30" i="19"/>
  <c r="AK30" i="19" s="1"/>
  <c r="AE30" i="19"/>
  <c r="AF30" i="19" s="1"/>
  <c r="P30" i="19"/>
  <c r="Q30" i="19" s="1"/>
  <c r="AJ29" i="19"/>
  <c r="AI29" i="19"/>
  <c r="AE29" i="19"/>
  <c r="AD29" i="19"/>
  <c r="P29" i="19"/>
  <c r="O29" i="19"/>
  <c r="AJ28" i="19"/>
  <c r="AK28" i="19" s="1"/>
  <c r="AE28" i="19"/>
  <c r="AF28" i="19" s="1"/>
  <c r="P28" i="19"/>
  <c r="Q28" i="19" s="1"/>
  <c r="AJ27" i="19"/>
  <c r="AI27" i="19"/>
  <c r="AE27" i="19"/>
  <c r="AD27" i="19"/>
  <c r="P27" i="19"/>
  <c r="O27" i="19"/>
  <c r="AJ26" i="19"/>
  <c r="AK26" i="19" s="1"/>
  <c r="AE26" i="19"/>
  <c r="AF26" i="19" s="1"/>
  <c r="P26" i="19"/>
  <c r="Q26" i="19" s="1"/>
  <c r="AJ25" i="19"/>
  <c r="AI25" i="19"/>
  <c r="AE25" i="19"/>
  <c r="AD25" i="19"/>
  <c r="P25" i="19"/>
  <c r="O25" i="19"/>
  <c r="AJ24" i="19"/>
  <c r="AK24" i="19" s="1"/>
  <c r="AE24" i="19"/>
  <c r="AF24" i="19" s="1"/>
  <c r="P24" i="19"/>
  <c r="Q24" i="19" s="1"/>
  <c r="AJ23" i="19"/>
  <c r="AI23" i="19"/>
  <c r="AE23" i="19"/>
  <c r="AD23" i="19"/>
  <c r="P23" i="19"/>
  <c r="O23" i="19"/>
  <c r="AJ22" i="19"/>
  <c r="AK22" i="19" s="1"/>
  <c r="AE22" i="19"/>
  <c r="AF22" i="19" s="1"/>
  <c r="P22" i="19"/>
  <c r="Q22" i="19" s="1"/>
  <c r="AJ21" i="19"/>
  <c r="AI21" i="19"/>
  <c r="AE21" i="19"/>
  <c r="AD21" i="19"/>
  <c r="P21" i="19"/>
  <c r="O21" i="19"/>
  <c r="AJ20" i="19"/>
  <c r="AK20" i="19" s="1"/>
  <c r="AE20" i="19"/>
  <c r="P20" i="19"/>
  <c r="Q20" i="19" s="1"/>
  <c r="AJ19" i="19"/>
  <c r="AI19" i="19"/>
  <c r="AE19" i="19"/>
  <c r="AD19" i="19"/>
  <c r="P19" i="19"/>
  <c r="O19" i="19"/>
  <c r="AJ18" i="19"/>
  <c r="AK18" i="19" s="1"/>
  <c r="AE18" i="19"/>
  <c r="P18" i="19"/>
  <c r="Q18" i="19" s="1"/>
  <c r="AJ17" i="19"/>
  <c r="AI17" i="19"/>
  <c r="AE17" i="19"/>
  <c r="AD17" i="19"/>
  <c r="P17" i="19"/>
  <c r="O17" i="19"/>
  <c r="AJ16" i="19"/>
  <c r="AK16" i="19" s="1"/>
  <c r="AE16" i="19"/>
  <c r="AF16" i="19" s="1"/>
  <c r="P16" i="19"/>
  <c r="Q16" i="19" s="1"/>
  <c r="AJ15" i="19"/>
  <c r="AI15" i="19"/>
  <c r="AE15" i="19"/>
  <c r="AD15" i="19"/>
  <c r="P15" i="19"/>
  <c r="O15" i="19"/>
  <c r="AJ14" i="19"/>
  <c r="AK14" i="19" s="1"/>
  <c r="AE14" i="19"/>
  <c r="AF14" i="19" s="1"/>
  <c r="P14" i="19"/>
  <c r="Q14" i="19" s="1"/>
  <c r="AJ13" i="19"/>
  <c r="AI13" i="19"/>
  <c r="AE13" i="19"/>
  <c r="AD13" i="19"/>
  <c r="P13" i="19"/>
  <c r="O13" i="19"/>
  <c r="AJ12" i="19"/>
  <c r="AK12" i="19" s="1"/>
  <c r="AE12" i="19"/>
  <c r="P12" i="19"/>
  <c r="Q12" i="19" s="1"/>
  <c r="AJ11" i="19"/>
  <c r="AI11" i="19"/>
  <c r="AE11" i="19"/>
  <c r="AD11" i="19"/>
  <c r="P11" i="19"/>
  <c r="O11" i="19"/>
  <c r="AJ10" i="19"/>
  <c r="AK10" i="19" s="1"/>
  <c r="AE10" i="19"/>
  <c r="AF10" i="19" s="1"/>
  <c r="P10" i="19"/>
  <c r="Q10" i="19" s="1"/>
  <c r="DP65" i="19"/>
  <c r="DA65" i="19"/>
  <c r="CV65" i="19"/>
  <c r="CB65" i="19"/>
  <c r="AF63" i="19" l="1"/>
  <c r="O67" i="19"/>
  <c r="P67" i="19"/>
  <c r="Q31" i="19"/>
  <c r="AF21" i="19"/>
  <c r="Y55" i="19"/>
  <c r="AF29" i="19"/>
  <c r="Q19" i="19"/>
  <c r="AF17" i="19"/>
  <c r="DU65" i="19"/>
  <c r="Q23" i="19"/>
  <c r="BM65" i="19"/>
  <c r="Q53" i="19"/>
  <c r="AK23" i="19"/>
  <c r="AF15" i="19"/>
  <c r="Q17" i="19"/>
  <c r="Z60" i="19"/>
  <c r="AA60" i="19" s="1"/>
  <c r="Q63" i="19"/>
  <c r="Z62" i="19"/>
  <c r="AA62" i="19" s="1"/>
  <c r="Z55" i="19"/>
  <c r="Q21" i="19"/>
  <c r="Y27" i="19"/>
  <c r="Q29" i="19"/>
  <c r="Y35" i="19"/>
  <c r="Q59" i="19"/>
  <c r="Z47" i="19"/>
  <c r="Z50" i="19"/>
  <c r="AA50" i="19" s="1"/>
  <c r="AK53" i="19"/>
  <c r="AK19" i="19"/>
  <c r="Z18" i="19"/>
  <c r="AA18" i="19" s="1"/>
  <c r="AK37" i="19"/>
  <c r="AK33" i="19"/>
  <c r="AF53" i="19"/>
  <c r="AK55" i="19"/>
  <c r="Y15" i="19"/>
  <c r="Z21" i="19"/>
  <c r="Z37" i="19"/>
  <c r="Z46" i="19"/>
  <c r="AA46" i="19" s="1"/>
  <c r="Z59" i="19"/>
  <c r="Z35" i="19"/>
  <c r="Z58" i="19"/>
  <c r="AA58" i="19" s="1"/>
  <c r="Z32" i="19"/>
  <c r="AA32" i="19" s="1"/>
  <c r="AK35" i="19"/>
  <c r="Z48" i="19"/>
  <c r="AA48" i="19" s="1"/>
  <c r="Q51" i="19"/>
  <c r="Z53" i="19"/>
  <c r="Q61" i="19"/>
  <c r="CS65" i="19"/>
  <c r="Q33" i="19"/>
  <c r="Z49" i="19"/>
  <c r="Y13" i="19"/>
  <c r="Y23" i="19"/>
  <c r="Y31" i="19"/>
  <c r="Q11" i="19"/>
  <c r="Z23" i="19"/>
  <c r="Z44" i="19"/>
  <c r="AA44" i="19" s="1"/>
  <c r="Q47" i="19"/>
  <c r="Z22" i="19"/>
  <c r="AA22" i="19" s="1"/>
  <c r="Z36" i="19"/>
  <c r="AA36" i="19" s="1"/>
  <c r="AF13" i="19"/>
  <c r="Z16" i="19"/>
  <c r="AA16" i="19" s="1"/>
  <c r="Z19" i="19"/>
  <c r="Z33" i="19"/>
  <c r="Q35" i="19"/>
  <c r="Z34" i="19"/>
  <c r="AA34" i="19" s="1"/>
  <c r="Z28" i="19"/>
  <c r="AA28" i="19" s="1"/>
  <c r="AK11" i="19"/>
  <c r="AF25" i="19"/>
  <c r="Q41" i="19"/>
  <c r="Q57" i="19"/>
  <c r="AK61" i="19"/>
  <c r="AF41" i="19"/>
  <c r="Q43" i="19"/>
  <c r="Q45" i="19"/>
  <c r="Y49" i="19"/>
  <c r="Z54" i="19"/>
  <c r="AA54" i="19" s="1"/>
  <c r="Z61" i="19"/>
  <c r="Z45" i="19"/>
  <c r="Z26" i="19"/>
  <c r="AA26" i="19" s="1"/>
  <c r="Z11" i="19"/>
  <c r="AF35" i="19"/>
  <c r="AF45" i="19"/>
  <c r="AK49" i="19"/>
  <c r="Z52" i="19"/>
  <c r="AA52" i="19" s="1"/>
  <c r="Y39" i="19"/>
  <c r="AF51" i="19"/>
  <c r="Z63" i="19"/>
  <c r="Y25" i="19"/>
  <c r="Z25" i="19"/>
  <c r="DV65" i="19"/>
  <c r="AK21" i="19"/>
  <c r="Z40" i="19"/>
  <c r="AA40" i="19" s="1"/>
  <c r="AK47" i="19"/>
  <c r="Q55" i="19"/>
  <c r="AF57" i="19"/>
  <c r="CC65" i="19"/>
  <c r="CH65" i="19"/>
  <c r="Y17" i="19"/>
  <c r="Z17" i="19"/>
  <c r="Z13" i="19"/>
  <c r="Y51" i="19"/>
  <c r="DL65" i="19"/>
  <c r="Z38" i="19"/>
  <c r="AA38" i="19" s="1"/>
  <c r="Y37" i="19"/>
  <c r="AF11" i="19"/>
  <c r="Z14" i="19"/>
  <c r="AA14" i="19" s="1"/>
  <c r="AF27" i="19"/>
  <c r="Y33" i="19"/>
  <c r="AF37" i="19"/>
  <c r="Q39" i="19"/>
  <c r="AK43" i="19"/>
  <c r="Y45" i="19"/>
  <c r="CQ65" i="19"/>
  <c r="CX65" i="19"/>
  <c r="AK38" i="19"/>
  <c r="O65" i="19"/>
  <c r="P65" i="19"/>
  <c r="AF47" i="19"/>
  <c r="Y47" i="19"/>
  <c r="AF12" i="19"/>
  <c r="Z12" i="19"/>
  <c r="AA12" i="19" s="1"/>
  <c r="AK13" i="19"/>
  <c r="AF59" i="19"/>
  <c r="Y59" i="19"/>
  <c r="BS65" i="19"/>
  <c r="Y29" i="19"/>
  <c r="Q27" i="19"/>
  <c r="Z39" i="19"/>
  <c r="Y53" i="19"/>
  <c r="Z24" i="19"/>
  <c r="AA24" i="19" s="1"/>
  <c r="AK25" i="19"/>
  <c r="Q49" i="19"/>
  <c r="Y57" i="19"/>
  <c r="Z29" i="19"/>
  <c r="Z51" i="19"/>
  <c r="Z57" i="19"/>
  <c r="AK59" i="19"/>
  <c r="CI65" i="19"/>
  <c r="Q13" i="19"/>
  <c r="CM65" i="19"/>
  <c r="Q25" i="19"/>
  <c r="Z15" i="19"/>
  <c r="AF31" i="19"/>
  <c r="BT65" i="19"/>
  <c r="AF18" i="19"/>
  <c r="Z27" i="19"/>
  <c r="Y41" i="19"/>
  <c r="DR65" i="19"/>
  <c r="AK31" i="19"/>
  <c r="Z41" i="19"/>
  <c r="DK65" i="19"/>
  <c r="DG65" i="19"/>
  <c r="Q37" i="19"/>
  <c r="Y43" i="19"/>
  <c r="AF39" i="19"/>
  <c r="Z43" i="19"/>
  <c r="Y61" i="19"/>
  <c r="Y63" i="19"/>
  <c r="AF19" i="19"/>
  <c r="AE65" i="19"/>
  <c r="Q15" i="19"/>
  <c r="AK63" i="19"/>
  <c r="AF55" i="19"/>
  <c r="CL65" i="19"/>
  <c r="Z10" i="19"/>
  <c r="AA10" i="19" s="1"/>
  <c r="Z20" i="19"/>
  <c r="AA20" i="19" s="1"/>
  <c r="Z56" i="19"/>
  <c r="AA56" i="19" s="1"/>
  <c r="AK15" i="19"/>
  <c r="Y19" i="19"/>
  <c r="AF20" i="19"/>
  <c r="Z30" i="19"/>
  <c r="AA30" i="19" s="1"/>
  <c r="AK51" i="19"/>
  <c r="AF56" i="19"/>
  <c r="CR65" i="19"/>
  <c r="AK45" i="19"/>
  <c r="AF50" i="19"/>
  <c r="CW65" i="19"/>
  <c r="AF44" i="19"/>
  <c r="AK39" i="19"/>
  <c r="AK29" i="19"/>
  <c r="AF43" i="19"/>
  <c r="AF62" i="19"/>
  <c r="DF65" i="19"/>
  <c r="AK27" i="19"/>
  <c r="AF32" i="19"/>
  <c r="AF33" i="19"/>
  <c r="Z42" i="19"/>
  <c r="AA42" i="19" s="1"/>
  <c r="AF49" i="19"/>
  <c r="AI65" i="19"/>
  <c r="DQ65" i="19"/>
  <c r="AF61" i="19"/>
  <c r="AK41" i="19"/>
  <c r="AD65" i="19"/>
  <c r="DC65" i="19"/>
  <c r="BN65" i="19"/>
  <c r="Y11" i="19"/>
  <c r="AK17" i="19"/>
  <c r="Y21" i="19"/>
  <c r="AF23" i="19"/>
  <c r="Z31" i="19"/>
  <c r="AK57" i="19"/>
  <c r="AJ65" i="19"/>
  <c r="DB65" i="19"/>
  <c r="D67" i="19" l="1"/>
  <c r="C67" i="19"/>
  <c r="AA37" i="19"/>
  <c r="AA55" i="19"/>
  <c r="AA35" i="19"/>
  <c r="AA19" i="19"/>
  <c r="AA61" i="19"/>
  <c r="AA27" i="19"/>
  <c r="AA53" i="19"/>
  <c r="AA33" i="19"/>
  <c r="AA31" i="19"/>
  <c r="DM65" i="19"/>
  <c r="AA39" i="19"/>
  <c r="AA59" i="19"/>
  <c r="AA47" i="19"/>
  <c r="AA15" i="19"/>
  <c r="AA49" i="19"/>
  <c r="AA21" i="19"/>
  <c r="AA13" i="19"/>
  <c r="AA45" i="19"/>
  <c r="AA23" i="19"/>
  <c r="AA51" i="19"/>
  <c r="AA63" i="19"/>
  <c r="AA11" i="19"/>
  <c r="AA25" i="19"/>
  <c r="AA41" i="19"/>
  <c r="AA17" i="19"/>
  <c r="CN65" i="19"/>
  <c r="AA43" i="19"/>
  <c r="CD65" i="19"/>
  <c r="DH65" i="19"/>
  <c r="AA29" i="19"/>
  <c r="AF65" i="19"/>
  <c r="AA57" i="19"/>
  <c r="BO65" i="19"/>
  <c r="Q65" i="19"/>
  <c r="Z65" i="19"/>
  <c r="AS65" i="19"/>
  <c r="Y65" i="19"/>
  <c r="AT65" i="19"/>
  <c r="DW65" i="19"/>
  <c r="AK65" i="19"/>
  <c r="AA65" i="19" l="1"/>
  <c r="AU65" i="19"/>
  <c r="C47" i="18" l="1"/>
  <c r="C48" i="18"/>
  <c r="C46" i="18"/>
  <c r="D50" i="18"/>
  <c r="B50" i="18"/>
  <c r="E39" i="18" s="1"/>
  <c r="D36" i="18"/>
  <c r="C36" i="18"/>
  <c r="E26" i="18" s="1"/>
  <c r="B36" i="18"/>
  <c r="E25" i="18" s="1"/>
  <c r="M19" i="18"/>
  <c r="L19" i="18"/>
  <c r="K19" i="18"/>
  <c r="I19" i="18"/>
  <c r="H19" i="18"/>
  <c r="G19" i="18"/>
  <c r="D19" i="18"/>
  <c r="B19" i="18"/>
  <c r="C19" i="18"/>
  <c r="C50" i="18" l="1"/>
  <c r="E40" i="18" s="1"/>
  <c r="R24" i="13"/>
  <c r="D24" i="13"/>
  <c r="C24" i="13"/>
  <c r="E22" i="13"/>
  <c r="E21" i="13"/>
  <c r="E20" i="13"/>
  <c r="E19" i="13"/>
  <c r="E18" i="13"/>
  <c r="E17" i="13"/>
  <c r="E16" i="13"/>
  <c r="E15" i="13"/>
  <c r="H14" i="13"/>
  <c r="T15" i="19" s="1"/>
  <c r="E14" i="13"/>
  <c r="E13" i="13"/>
  <c r="E12" i="13"/>
  <c r="I11" i="13"/>
  <c r="E11" i="13"/>
  <c r="AC24" i="13"/>
  <c r="H10" i="13"/>
  <c r="T11" i="19" s="1"/>
  <c r="E10" i="13"/>
  <c r="E9" i="13"/>
  <c r="BA24" i="13"/>
  <c r="AH24" i="13"/>
  <c r="BQ24" i="13"/>
  <c r="AW24" i="13"/>
  <c r="N24" i="13"/>
  <c r="D70" i="16"/>
  <c r="F15" i="16"/>
  <c r="J11" i="13" l="1"/>
  <c r="U12" i="19"/>
  <c r="V12" i="19" s="1"/>
  <c r="BC24" i="13"/>
  <c r="I18" i="13"/>
  <c r="U19" i="19" s="1"/>
  <c r="I15" i="13"/>
  <c r="I22" i="13"/>
  <c r="U23" i="19" s="1"/>
  <c r="Y24" i="13"/>
  <c r="BW24" i="13"/>
  <c r="AI24" i="13"/>
  <c r="AN24" i="13"/>
  <c r="AV24" i="13"/>
  <c r="CA24" i="13"/>
  <c r="H18" i="13"/>
  <c r="T19" i="19" s="1"/>
  <c r="E24" i="13"/>
  <c r="I9" i="13"/>
  <c r="I14" i="13"/>
  <c r="S24" i="13"/>
  <c r="BK24" i="13"/>
  <c r="I20" i="13"/>
  <c r="U21" i="19" s="1"/>
  <c r="H22" i="13"/>
  <c r="T23" i="19" s="1"/>
  <c r="AR24" i="13"/>
  <c r="BF24" i="13"/>
  <c r="AS24" i="13"/>
  <c r="I12" i="13"/>
  <c r="U13" i="19" s="1"/>
  <c r="I19" i="13"/>
  <c r="I21" i="13"/>
  <c r="AG24" i="13"/>
  <c r="BV24" i="13"/>
  <c r="AM24" i="13"/>
  <c r="AL24" i="13"/>
  <c r="AQ24" i="13"/>
  <c r="BM24" i="13"/>
  <c r="CB24" i="13"/>
  <c r="I10" i="13"/>
  <c r="I13" i="13"/>
  <c r="I16" i="13"/>
  <c r="U17" i="19" s="1"/>
  <c r="BU24" i="13"/>
  <c r="X24" i="13"/>
  <c r="BG24" i="13"/>
  <c r="BH24" i="13"/>
  <c r="BP24" i="13"/>
  <c r="M24" i="13"/>
  <c r="AB24" i="13"/>
  <c r="W24" i="13"/>
  <c r="BB24" i="13"/>
  <c r="H12" i="13"/>
  <c r="T13" i="19" s="1"/>
  <c r="T24" i="13"/>
  <c r="BZ24" i="13"/>
  <c r="H16" i="13"/>
  <c r="T17" i="19" s="1"/>
  <c r="I17" i="13"/>
  <c r="H20" i="13"/>
  <c r="T21" i="19" s="1"/>
  <c r="BL24" i="13"/>
  <c r="V13" i="19" l="1"/>
  <c r="V21" i="19"/>
  <c r="J19" i="13"/>
  <c r="U20" i="19"/>
  <c r="V20" i="19" s="1"/>
  <c r="J14" i="13"/>
  <c r="U15" i="19"/>
  <c r="V15" i="19" s="1"/>
  <c r="J9" i="13"/>
  <c r="U10" i="19"/>
  <c r="V10" i="19" s="1"/>
  <c r="J17" i="13"/>
  <c r="U18" i="19"/>
  <c r="V18" i="19" s="1"/>
  <c r="V19" i="19"/>
  <c r="T65" i="19"/>
  <c r="I67" i="19" s="1"/>
  <c r="J13" i="13"/>
  <c r="U14" i="19"/>
  <c r="V14" i="19" s="1"/>
  <c r="V23" i="19"/>
  <c r="J15" i="13"/>
  <c r="U16" i="19"/>
  <c r="V16" i="19" s="1"/>
  <c r="V17" i="19"/>
  <c r="J10" i="13"/>
  <c r="U11" i="19"/>
  <c r="V11" i="19" s="1"/>
  <c r="J21" i="13"/>
  <c r="U22" i="19"/>
  <c r="V22" i="19" s="1"/>
  <c r="BR24" i="13"/>
  <c r="I24" i="13"/>
  <c r="J12" i="13"/>
  <c r="J18" i="13"/>
  <c r="J22" i="13"/>
  <c r="O24" i="13"/>
  <c r="J20" i="13"/>
  <c r="AD24" i="13"/>
  <c r="J16" i="13"/>
  <c r="AX24" i="13"/>
  <c r="H24" i="13"/>
  <c r="V65" i="19" l="1"/>
  <c r="U65" i="19"/>
  <c r="J67" i="19" s="1"/>
  <c r="J24" i="13"/>
  <c r="D31" i="16" l="1"/>
  <c r="E62" i="16"/>
  <c r="D62" i="16"/>
  <c r="E61" i="16"/>
  <c r="D61" i="16"/>
  <c r="P59" i="16"/>
  <c r="D59" i="16"/>
  <c r="P58" i="16"/>
  <c r="D58" i="16" s="1"/>
  <c r="P57" i="16"/>
  <c r="D57" i="16"/>
  <c r="N56" i="16"/>
  <c r="D56" i="16" s="1"/>
  <c r="I55" i="16"/>
  <c r="D55" i="16"/>
  <c r="I54" i="16"/>
  <c r="D54" i="16" s="1"/>
  <c r="I53" i="16"/>
  <c r="D53" i="16"/>
  <c r="H52" i="16"/>
  <c r="D52" i="16"/>
  <c r="F51" i="16"/>
  <c r="F9" i="16" s="1"/>
  <c r="E50" i="16"/>
  <c r="D50" i="16" s="1"/>
  <c r="E49" i="16"/>
  <c r="D49" i="16" s="1"/>
  <c r="N48" i="16"/>
  <c r="D48" i="16" s="1"/>
  <c r="K47" i="16"/>
  <c r="D47" i="16" s="1"/>
  <c r="D46" i="16"/>
  <c r="I45" i="16"/>
  <c r="D45" i="16"/>
  <c r="I44" i="16"/>
  <c r="I9" i="16" s="1"/>
  <c r="D44" i="16"/>
  <c r="H43" i="16"/>
  <c r="H42" i="16"/>
  <c r="D42" i="16" s="1"/>
  <c r="D41" i="16"/>
  <c r="D40" i="16"/>
  <c r="D39" i="16"/>
  <c r="E38" i="16"/>
  <c r="D38" i="16" s="1"/>
  <c r="E37" i="16"/>
  <c r="D37" i="16"/>
  <c r="E35" i="16"/>
  <c r="D35" i="16"/>
  <c r="E34" i="16"/>
  <c r="D34" i="16" s="1"/>
  <c r="D33" i="16"/>
  <c r="Q29" i="16"/>
  <c r="D29" i="16" s="1"/>
  <c r="P28" i="16"/>
  <c r="P7" i="16" s="1"/>
  <c r="D27" i="16"/>
  <c r="O26" i="16"/>
  <c r="O7" i="16" s="1"/>
  <c r="O5" i="16" s="1"/>
  <c r="N25" i="16"/>
  <c r="N7" i="16" s="1"/>
  <c r="D25" i="16"/>
  <c r="D24" i="16"/>
  <c r="M23" i="16"/>
  <c r="M7" i="16" s="1"/>
  <c r="M5" i="16" s="1"/>
  <c r="D22" i="16"/>
  <c r="L21" i="16"/>
  <c r="D21" i="16" s="1"/>
  <c r="K20" i="16"/>
  <c r="D20" i="16" s="1"/>
  <c r="D19" i="16"/>
  <c r="I18" i="16"/>
  <c r="I7" i="16" s="1"/>
  <c r="H17" i="16"/>
  <c r="D17" i="16" s="1"/>
  <c r="H16" i="16"/>
  <c r="D16" i="16"/>
  <c r="F7" i="16"/>
  <c r="E14" i="16"/>
  <c r="D14" i="16" s="1"/>
  <c r="E13" i="16"/>
  <c r="K9" i="16"/>
  <c r="J7" i="16"/>
  <c r="J5" i="16" s="1"/>
  <c r="G5" i="16"/>
  <c r="R61" i="14"/>
  <c r="D61" i="14"/>
  <c r="R32" i="14"/>
  <c r="D32" i="14"/>
  <c r="D54" i="10"/>
  <c r="R59" i="15"/>
  <c r="R7" i="15"/>
  <c r="D32" i="15"/>
  <c r="F15" i="15"/>
  <c r="D15" i="15" s="1"/>
  <c r="E61" i="15"/>
  <c r="D61" i="15" s="1"/>
  <c r="E60" i="15"/>
  <c r="D60" i="15" s="1"/>
  <c r="P58" i="15"/>
  <c r="D58" i="15" s="1"/>
  <c r="P57" i="15"/>
  <c r="D57" i="15" s="1"/>
  <c r="P56" i="15"/>
  <c r="N55" i="15"/>
  <c r="D55" i="15" s="1"/>
  <c r="I54" i="15"/>
  <c r="D54" i="15" s="1"/>
  <c r="I53" i="15"/>
  <c r="D53" i="15" s="1"/>
  <c r="I52" i="15"/>
  <c r="D52" i="15" s="1"/>
  <c r="F51" i="15"/>
  <c r="D51" i="15" s="1"/>
  <c r="E50" i="15"/>
  <c r="D50" i="15" s="1"/>
  <c r="N49" i="15"/>
  <c r="D49" i="15" s="1"/>
  <c r="K48" i="15"/>
  <c r="K9" i="15" s="1"/>
  <c r="D47" i="15"/>
  <c r="I46" i="15"/>
  <c r="D46" i="15" s="1"/>
  <c r="I45" i="15"/>
  <c r="D45" i="15" s="1"/>
  <c r="H44" i="15"/>
  <c r="H43" i="15"/>
  <c r="D43" i="15" s="1"/>
  <c r="D42" i="15"/>
  <c r="D41" i="15"/>
  <c r="D40" i="15"/>
  <c r="E39" i="15"/>
  <c r="D39" i="15" s="1"/>
  <c r="E38" i="15"/>
  <c r="D38" i="15" s="1"/>
  <c r="E36" i="15"/>
  <c r="D36" i="15" s="1"/>
  <c r="E35" i="15"/>
  <c r="D35" i="15" s="1"/>
  <c r="E34" i="15"/>
  <c r="D34" i="15" s="1"/>
  <c r="Q29" i="15"/>
  <c r="D29" i="15" s="1"/>
  <c r="P28" i="15"/>
  <c r="P7" i="15" s="1"/>
  <c r="D27" i="15"/>
  <c r="O26" i="15"/>
  <c r="O7" i="15" s="1"/>
  <c r="O5" i="15" s="1"/>
  <c r="N25" i="15"/>
  <c r="D25" i="15" s="1"/>
  <c r="D24" i="15"/>
  <c r="M23" i="15"/>
  <c r="M7" i="15" s="1"/>
  <c r="M5" i="15" s="1"/>
  <c r="D22" i="15"/>
  <c r="L21" i="15"/>
  <c r="L7" i="15" s="1"/>
  <c r="L5" i="15" s="1"/>
  <c r="K20" i="15"/>
  <c r="D20" i="15" s="1"/>
  <c r="D19" i="15"/>
  <c r="I18" i="15"/>
  <c r="I7" i="15" s="1"/>
  <c r="H17" i="15"/>
  <c r="D17" i="15" s="1"/>
  <c r="H16" i="15"/>
  <c r="D16" i="15" s="1"/>
  <c r="E14" i="15"/>
  <c r="D14" i="15" s="1"/>
  <c r="E13" i="15"/>
  <c r="D13" i="15" s="1"/>
  <c r="R9" i="15"/>
  <c r="J7" i="15"/>
  <c r="J5" i="15" s="1"/>
  <c r="G5" i="15"/>
  <c r="E63" i="14"/>
  <c r="E11" i="14" s="1"/>
  <c r="D11" i="14" s="1"/>
  <c r="D63" i="14"/>
  <c r="S63" i="14" s="1"/>
  <c r="E62" i="14"/>
  <c r="D62" i="14" s="1"/>
  <c r="S62" i="14" s="1"/>
  <c r="S11" i="14" s="1"/>
  <c r="P60" i="14"/>
  <c r="D60" i="14" s="1"/>
  <c r="P59" i="14"/>
  <c r="P9" i="14" s="1"/>
  <c r="D59" i="14"/>
  <c r="N58" i="14"/>
  <c r="D58" i="14"/>
  <c r="I57" i="14"/>
  <c r="D57" i="14"/>
  <c r="D56" i="14"/>
  <c r="I55" i="14"/>
  <c r="D55" i="14"/>
  <c r="F54" i="14"/>
  <c r="F9" i="14" s="1"/>
  <c r="E53" i="14"/>
  <c r="D53" i="14"/>
  <c r="N50" i="14"/>
  <c r="D50" i="14"/>
  <c r="K49" i="14"/>
  <c r="D49" i="14"/>
  <c r="D48" i="14"/>
  <c r="I47" i="14"/>
  <c r="D47" i="14" s="1"/>
  <c r="I46" i="14"/>
  <c r="I9" i="14" s="1"/>
  <c r="D46" i="14"/>
  <c r="H45" i="14"/>
  <c r="D45" i="14"/>
  <c r="H44" i="14"/>
  <c r="H9" i="14" s="1"/>
  <c r="D44" i="14"/>
  <c r="D43" i="14"/>
  <c r="D42" i="14"/>
  <c r="D41" i="14"/>
  <c r="D40" i="14"/>
  <c r="E39" i="14"/>
  <c r="D39" i="14"/>
  <c r="E37" i="14"/>
  <c r="D37" i="14"/>
  <c r="E36" i="14"/>
  <c r="D36" i="14"/>
  <c r="E35" i="14"/>
  <c r="D35" i="14" s="1"/>
  <c r="D33" i="14"/>
  <c r="Q31" i="14"/>
  <c r="D31" i="14"/>
  <c r="P30" i="14"/>
  <c r="P7" i="14" s="1"/>
  <c r="D30" i="14"/>
  <c r="D29" i="14"/>
  <c r="S29" i="14" s="1"/>
  <c r="O28" i="14"/>
  <c r="O7" i="14" s="1"/>
  <c r="O5" i="14" s="1"/>
  <c r="D28" i="14"/>
  <c r="N27" i="14"/>
  <c r="D27" i="14" s="1"/>
  <c r="D26" i="14"/>
  <c r="M25" i="14"/>
  <c r="D25" i="14" s="1"/>
  <c r="D24" i="14"/>
  <c r="S24" i="14" s="1"/>
  <c r="L23" i="14"/>
  <c r="L7" i="14" s="1"/>
  <c r="L5" i="14" s="1"/>
  <c r="K22" i="14"/>
  <c r="D22" i="14"/>
  <c r="D21" i="14"/>
  <c r="I20" i="14"/>
  <c r="D20" i="14"/>
  <c r="H19" i="14"/>
  <c r="D19" i="14"/>
  <c r="H18" i="14"/>
  <c r="D18" i="14" s="1"/>
  <c r="F17" i="14"/>
  <c r="F7" i="14" s="1"/>
  <c r="D17" i="14"/>
  <c r="E16" i="14"/>
  <c r="D16" i="14"/>
  <c r="D15" i="14"/>
  <c r="N9" i="14"/>
  <c r="K9" i="14"/>
  <c r="E9" i="14"/>
  <c r="E5" i="14" s="1"/>
  <c r="Q7" i="14"/>
  <c r="N7" i="14"/>
  <c r="N5" i="14" s="1"/>
  <c r="M7" i="14"/>
  <c r="M5" i="14" s="1"/>
  <c r="K7" i="14"/>
  <c r="J7" i="14"/>
  <c r="I7" i="14"/>
  <c r="I5" i="14" s="1"/>
  <c r="H7" i="14"/>
  <c r="H5" i="14" s="1"/>
  <c r="E7" i="14"/>
  <c r="Q5" i="14"/>
  <c r="K5" i="14"/>
  <c r="J5" i="14"/>
  <c r="G5" i="14"/>
  <c r="D44" i="12"/>
  <c r="C44" i="12"/>
  <c r="E42" i="12"/>
  <c r="E41" i="12"/>
  <c r="E40" i="12"/>
  <c r="E39" i="12"/>
  <c r="E38" i="12"/>
  <c r="E37" i="12"/>
  <c r="E36" i="12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AV44" i="12"/>
  <c r="AB44" i="12"/>
  <c r="Q7" i="16" l="1"/>
  <c r="Q5" i="16" s="1"/>
  <c r="O44" i="12"/>
  <c r="AS44" i="12"/>
  <c r="AM44" i="12"/>
  <c r="D18" i="16"/>
  <c r="D51" i="16"/>
  <c r="P9" i="16"/>
  <c r="D26" i="16"/>
  <c r="H9" i="16"/>
  <c r="H7" i="16"/>
  <c r="H5" i="16" s="1"/>
  <c r="F5" i="16"/>
  <c r="E7" i="16"/>
  <c r="D43" i="16"/>
  <c r="R60" i="16" s="1"/>
  <c r="D28" i="16"/>
  <c r="E11" i="16"/>
  <c r="D11" i="16" s="1"/>
  <c r="S61" i="16" s="1"/>
  <c r="D13" i="16"/>
  <c r="R30" i="16" s="1"/>
  <c r="S22" i="16"/>
  <c r="N9" i="16"/>
  <c r="N5" i="16" s="1"/>
  <c r="E9" i="16"/>
  <c r="K7" i="16"/>
  <c r="K5" i="16" s="1"/>
  <c r="D15" i="16"/>
  <c r="D23" i="16"/>
  <c r="S27" i="16" s="1"/>
  <c r="P5" i="16"/>
  <c r="I5" i="16"/>
  <c r="L7" i="16"/>
  <c r="L5" i="16" s="1"/>
  <c r="R5" i="15"/>
  <c r="F9" i="15"/>
  <c r="E7" i="15"/>
  <c r="E9" i="15"/>
  <c r="F7" i="15"/>
  <c r="D18" i="15"/>
  <c r="D23" i="15"/>
  <c r="S27" i="15" s="1"/>
  <c r="D26" i="15"/>
  <c r="E11" i="15"/>
  <c r="D11" i="15" s="1"/>
  <c r="S60" i="15" s="1"/>
  <c r="D21" i="15"/>
  <c r="P9" i="15"/>
  <c r="P5" i="15" s="1"/>
  <c r="D48" i="15"/>
  <c r="Q7" i="15"/>
  <c r="Q5" i="15" s="1"/>
  <c r="D28" i="15"/>
  <c r="D56" i="15"/>
  <c r="S22" i="15"/>
  <c r="H9" i="15"/>
  <c r="I9" i="15"/>
  <c r="I5" i="15" s="1"/>
  <c r="H7" i="15"/>
  <c r="N7" i="15"/>
  <c r="D44" i="15"/>
  <c r="K7" i="15"/>
  <c r="K5" i="15" s="1"/>
  <c r="N9" i="15"/>
  <c r="P5" i="14"/>
  <c r="F5" i="14"/>
  <c r="D23" i="14"/>
  <c r="D54" i="14"/>
  <c r="R7" i="14"/>
  <c r="M44" i="12"/>
  <c r="N44" i="12"/>
  <c r="E44" i="12"/>
  <c r="AC44" i="12"/>
  <c r="AI44" i="12"/>
  <c r="W44" i="12"/>
  <c r="AQ44" i="12"/>
  <c r="AR44" i="12"/>
  <c r="AX44" i="12"/>
  <c r="X44" i="12"/>
  <c r="AW44" i="12"/>
  <c r="AG44" i="12"/>
  <c r="AH44" i="12"/>
  <c r="R44" i="12"/>
  <c r="AL44" i="12"/>
  <c r="D59" i="15" l="1"/>
  <c r="D60" i="16"/>
  <c r="D67" i="16" s="1"/>
  <c r="R9" i="16"/>
  <c r="D30" i="16"/>
  <c r="R7" i="16"/>
  <c r="D7" i="16" s="1"/>
  <c r="Y44" i="12"/>
  <c r="AN44" i="12"/>
  <c r="AD44" i="12"/>
  <c r="H44" i="12"/>
  <c r="F5" i="15"/>
  <c r="S62" i="16"/>
  <c r="S11" i="16" s="1"/>
  <c r="E5" i="16"/>
  <c r="D7" i="15"/>
  <c r="H5" i="15"/>
  <c r="S61" i="15"/>
  <c r="S11" i="15" s="1"/>
  <c r="E5" i="15"/>
  <c r="D9" i="15"/>
  <c r="N5" i="15"/>
  <c r="D7" i="14"/>
  <c r="S23" i="14" s="1"/>
  <c r="S32" i="14"/>
  <c r="S30" i="16" l="1"/>
  <c r="D66" i="16"/>
  <c r="D68" i="16" s="1"/>
  <c r="D71" i="16" s="1"/>
  <c r="R5" i="16"/>
  <c r="D9" i="16"/>
  <c r="S18" i="15"/>
  <c r="S30" i="15"/>
  <c r="S57" i="16"/>
  <c r="S31" i="16"/>
  <c r="S37" i="16"/>
  <c r="S55" i="16"/>
  <c r="S51" i="16"/>
  <c r="S40" i="16"/>
  <c r="S54" i="16"/>
  <c r="S49" i="16"/>
  <c r="S33" i="16"/>
  <c r="S41" i="16"/>
  <c r="S50" i="16"/>
  <c r="S34" i="16"/>
  <c r="S14" i="16"/>
  <c r="S15" i="16"/>
  <c r="S44" i="16"/>
  <c r="S58" i="16"/>
  <c r="S39" i="16"/>
  <c r="S21" i="16"/>
  <c r="S29" i="16"/>
  <c r="S20" i="16"/>
  <c r="S17" i="16"/>
  <c r="S13" i="16"/>
  <c r="S18" i="16"/>
  <c r="S24" i="16"/>
  <c r="S19" i="16"/>
  <c r="S28" i="16"/>
  <c r="S23" i="16"/>
  <c r="S26" i="16"/>
  <c r="S25" i="16"/>
  <c r="S16" i="16"/>
  <c r="S59" i="15"/>
  <c r="S34" i="15"/>
  <c r="S32" i="15"/>
  <c r="S48" i="15"/>
  <c r="S41" i="15"/>
  <c r="S45" i="15"/>
  <c r="S39" i="15"/>
  <c r="S58" i="15"/>
  <c r="S38" i="15"/>
  <c r="S52" i="15"/>
  <c r="S53" i="15"/>
  <c r="S40" i="15"/>
  <c r="S51" i="15"/>
  <c r="S55" i="15"/>
  <c r="S43" i="15"/>
  <c r="S57" i="15"/>
  <c r="S50" i="15"/>
  <c r="S54" i="15"/>
  <c r="S36" i="15"/>
  <c r="S49" i="15"/>
  <c r="S44" i="15"/>
  <c r="S56" i="15"/>
  <c r="S35" i="15"/>
  <c r="S42" i="15"/>
  <c r="S47" i="15"/>
  <c r="S46" i="15"/>
  <c r="S20" i="15"/>
  <c r="S28" i="15"/>
  <c r="S29" i="15"/>
  <c r="S26" i="15"/>
  <c r="S14" i="15"/>
  <c r="S24" i="15"/>
  <c r="S16" i="15"/>
  <c r="D5" i="15"/>
  <c r="S15" i="15"/>
  <c r="S25" i="15"/>
  <c r="S19" i="15"/>
  <c r="S23" i="15"/>
  <c r="S17" i="15"/>
  <c r="S13" i="15"/>
  <c r="S21" i="15"/>
  <c r="R9" i="14"/>
  <c r="S20" i="14"/>
  <c r="S16" i="14"/>
  <c r="S19" i="14"/>
  <c r="S15" i="14"/>
  <c r="S27" i="14"/>
  <c r="S17" i="14"/>
  <c r="S21" i="14"/>
  <c r="S28" i="14"/>
  <c r="S26" i="14"/>
  <c r="S18" i="14"/>
  <c r="S25" i="14"/>
  <c r="S30" i="14"/>
  <c r="S31" i="14"/>
  <c r="S22" i="14"/>
  <c r="E58" i="11"/>
  <c r="E57" i="11"/>
  <c r="D57" i="11" s="1"/>
  <c r="P54" i="11"/>
  <c r="D54" i="11" s="1"/>
  <c r="P53" i="11"/>
  <c r="D53" i="11" s="1"/>
  <c r="N52" i="11"/>
  <c r="F47" i="11"/>
  <c r="F9" i="11" s="1"/>
  <c r="P55" i="11"/>
  <c r="D55" i="11" s="1"/>
  <c r="E45" i="11"/>
  <c r="D45" i="11" s="1"/>
  <c r="I49" i="11"/>
  <c r="D49" i="11"/>
  <c r="E46" i="11"/>
  <c r="D46" i="11"/>
  <c r="D52" i="11"/>
  <c r="D58" i="11"/>
  <c r="I50" i="11"/>
  <c r="D50" i="11" s="1"/>
  <c r="I51" i="11"/>
  <c r="D51" i="11"/>
  <c r="H48" i="11"/>
  <c r="D48" i="11"/>
  <c r="N44" i="11"/>
  <c r="D44" i="11" s="1"/>
  <c r="I40" i="11"/>
  <c r="D40" i="11"/>
  <c r="H39" i="11"/>
  <c r="D39" i="11"/>
  <c r="H38" i="11"/>
  <c r="D38" i="11"/>
  <c r="E33" i="11"/>
  <c r="D33" i="11" s="1"/>
  <c r="Q29" i="11"/>
  <c r="D29" i="11" s="1"/>
  <c r="Q7" i="11"/>
  <c r="Q5" i="11" s="1"/>
  <c r="P28" i="11"/>
  <c r="P7" i="11" s="1"/>
  <c r="O26" i="11"/>
  <c r="D26" i="11" s="1"/>
  <c r="N25" i="11"/>
  <c r="D25" i="11" s="1"/>
  <c r="M23" i="11"/>
  <c r="M7" i="11" s="1"/>
  <c r="M5" i="11" s="1"/>
  <c r="L21" i="11"/>
  <c r="D21" i="11" s="1"/>
  <c r="K20" i="11"/>
  <c r="K7" i="11" s="1"/>
  <c r="I18" i="11"/>
  <c r="D18" i="11" s="1"/>
  <c r="H17" i="11"/>
  <c r="D17" i="11" s="1"/>
  <c r="H16" i="11"/>
  <c r="D16" i="11" s="1"/>
  <c r="F15" i="11"/>
  <c r="D15" i="11" s="1"/>
  <c r="E14" i="11"/>
  <c r="D14" i="11"/>
  <c r="I41" i="11"/>
  <c r="D41" i="11" s="1"/>
  <c r="K43" i="11"/>
  <c r="D43" i="11" s="1"/>
  <c r="N7" i="11"/>
  <c r="E13" i="11"/>
  <c r="D13" i="11" s="1"/>
  <c r="E34" i="11"/>
  <c r="D34" i="11" s="1"/>
  <c r="E32" i="11"/>
  <c r="D32" i="11" s="1"/>
  <c r="E31" i="11"/>
  <c r="D56" i="11"/>
  <c r="D42" i="11"/>
  <c r="D37" i="11"/>
  <c r="D36" i="11"/>
  <c r="D35" i="11"/>
  <c r="D30" i="11"/>
  <c r="D27" i="11"/>
  <c r="D24" i="11"/>
  <c r="D22" i="11"/>
  <c r="D19" i="11"/>
  <c r="E11" i="11"/>
  <c r="D11" i="11"/>
  <c r="R9" i="11"/>
  <c r="R5" i="11" s="1"/>
  <c r="J7" i="11"/>
  <c r="J5" i="11" s="1"/>
  <c r="G5" i="11"/>
  <c r="F46" i="10"/>
  <c r="F9" i="10"/>
  <c r="P53" i="10"/>
  <c r="D53" i="10"/>
  <c r="P52" i="10"/>
  <c r="P9" i="10" s="1"/>
  <c r="D52" i="10"/>
  <c r="E45" i="10"/>
  <c r="E9" i="10" s="1"/>
  <c r="I47" i="10"/>
  <c r="D47" i="10"/>
  <c r="E56" i="10"/>
  <c r="D56" i="10"/>
  <c r="P51" i="10"/>
  <c r="D51" i="10"/>
  <c r="N50" i="10"/>
  <c r="E55" i="10"/>
  <c r="D55" i="10"/>
  <c r="I48" i="10"/>
  <c r="D48" i="10" s="1"/>
  <c r="I49" i="10"/>
  <c r="D49" i="10" s="1"/>
  <c r="F15" i="10"/>
  <c r="D15" i="10" s="1"/>
  <c r="E33" i="10"/>
  <c r="P28" i="10"/>
  <c r="P7" i="10"/>
  <c r="N25" i="10"/>
  <c r="N7" i="10"/>
  <c r="E14" i="10"/>
  <c r="E7" i="10" s="1"/>
  <c r="D14" i="10"/>
  <c r="Q29" i="10"/>
  <c r="D29" i="10" s="1"/>
  <c r="D33" i="10"/>
  <c r="K20" i="10"/>
  <c r="K7" i="10"/>
  <c r="H16" i="10"/>
  <c r="D16" i="10" s="1"/>
  <c r="H17" i="10"/>
  <c r="D17" i="10"/>
  <c r="O26" i="10"/>
  <c r="D26" i="10"/>
  <c r="M23" i="10"/>
  <c r="M7" i="10" s="1"/>
  <c r="M5" i="10" s="1"/>
  <c r="D23" i="10"/>
  <c r="S27" i="10" s="1"/>
  <c r="I18" i="10"/>
  <c r="D18" i="10" s="1"/>
  <c r="I41" i="10"/>
  <c r="K43" i="10"/>
  <c r="D43" i="10" s="1"/>
  <c r="I40" i="10"/>
  <c r="H39" i="10"/>
  <c r="D39" i="10" s="1"/>
  <c r="H38" i="10"/>
  <c r="H9" i="10" s="1"/>
  <c r="L21" i="10"/>
  <c r="D21" i="10"/>
  <c r="E13" i="10"/>
  <c r="D13" i="10" s="1"/>
  <c r="N44" i="10"/>
  <c r="D44" i="10"/>
  <c r="E32" i="10"/>
  <c r="E31" i="10"/>
  <c r="D31" i="10"/>
  <c r="E30" i="10"/>
  <c r="E34" i="10"/>
  <c r="D34" i="10"/>
  <c r="D50" i="10"/>
  <c r="D42" i="10"/>
  <c r="D40" i="10"/>
  <c r="D37" i="10"/>
  <c r="D36" i="10"/>
  <c r="D35" i="10"/>
  <c r="D32" i="10"/>
  <c r="D30" i="10"/>
  <c r="D27" i="10"/>
  <c r="D24" i="10"/>
  <c r="D22" i="10"/>
  <c r="D19" i="10"/>
  <c r="R9" i="10"/>
  <c r="R5" i="10" s="1"/>
  <c r="Q7" i="10"/>
  <c r="Q5" i="10" s="1"/>
  <c r="J7" i="10"/>
  <c r="J5" i="10"/>
  <c r="G5" i="10"/>
  <c r="D53" i="8"/>
  <c r="I50" i="8"/>
  <c r="D50" i="8" s="1"/>
  <c r="K20" i="8"/>
  <c r="K7" i="8" s="1"/>
  <c r="F15" i="8"/>
  <c r="H17" i="8"/>
  <c r="Q29" i="8"/>
  <c r="D29" i="8" s="1"/>
  <c r="H39" i="8"/>
  <c r="N45" i="8"/>
  <c r="H40" i="8"/>
  <c r="E34" i="8"/>
  <c r="E33" i="8"/>
  <c r="E32" i="8"/>
  <c r="D32" i="8" s="1"/>
  <c r="E31" i="8"/>
  <c r="R9" i="8"/>
  <c r="D54" i="8"/>
  <c r="D28" i="8"/>
  <c r="D27" i="8"/>
  <c r="D24" i="8"/>
  <c r="D22" i="8"/>
  <c r="D19" i="8"/>
  <c r="D13" i="8"/>
  <c r="D30" i="8"/>
  <c r="R7" i="8"/>
  <c r="R5" i="8" s="1"/>
  <c r="G5" i="8"/>
  <c r="F47" i="8"/>
  <c r="F9" i="8"/>
  <c r="P53" i="8"/>
  <c r="E46" i="8"/>
  <c r="D46" i="8"/>
  <c r="I48" i="8"/>
  <c r="D48" i="8"/>
  <c r="E56" i="8"/>
  <c r="D56" i="8" s="1"/>
  <c r="P52" i="8"/>
  <c r="P9" i="8" s="1"/>
  <c r="D52" i="8"/>
  <c r="N51" i="8"/>
  <c r="N9" i="8" s="1"/>
  <c r="D51" i="8"/>
  <c r="E55" i="8"/>
  <c r="D55" i="8" s="1"/>
  <c r="P28" i="8"/>
  <c r="P7" i="8" s="1"/>
  <c r="E14" i="8"/>
  <c r="D14" i="8"/>
  <c r="N25" i="8"/>
  <c r="N7" i="8" s="1"/>
  <c r="D25" i="8"/>
  <c r="H16" i="8"/>
  <c r="D16" i="8" s="1"/>
  <c r="O26" i="8"/>
  <c r="M23" i="8"/>
  <c r="D23" i="8" s="1"/>
  <c r="I42" i="8"/>
  <c r="D42" i="8" s="1"/>
  <c r="I18" i="8"/>
  <c r="D18" i="8"/>
  <c r="K44" i="8"/>
  <c r="K9" i="8" s="1"/>
  <c r="D44" i="8"/>
  <c r="I41" i="8"/>
  <c r="D41" i="8" s="1"/>
  <c r="D40" i="8"/>
  <c r="L21" i="8"/>
  <c r="D21" i="8" s="1"/>
  <c r="D33" i="8"/>
  <c r="D49" i="8"/>
  <c r="D43" i="8"/>
  <c r="D38" i="8"/>
  <c r="D37" i="8"/>
  <c r="D36" i="8"/>
  <c r="D35" i="8"/>
  <c r="J7" i="8"/>
  <c r="J5" i="8"/>
  <c r="D47" i="8"/>
  <c r="N5" i="8"/>
  <c r="E11" i="8"/>
  <c r="D11" i="8" s="1"/>
  <c r="Q7" i="8"/>
  <c r="Q5" i="8" s="1"/>
  <c r="I9" i="8"/>
  <c r="H9" i="8"/>
  <c r="D45" i="8"/>
  <c r="D39" i="8"/>
  <c r="E7" i="8"/>
  <c r="D34" i="8"/>
  <c r="I7" i="8"/>
  <c r="I5" i="8" s="1"/>
  <c r="S55" i="8"/>
  <c r="S27" i="8"/>
  <c r="D20" i="8"/>
  <c r="M7" i="8"/>
  <c r="M5" i="8"/>
  <c r="D17" i="8"/>
  <c r="K5" i="8"/>
  <c r="D46" i="10"/>
  <c r="L7" i="10"/>
  <c r="L5" i="10"/>
  <c r="P5" i="10"/>
  <c r="E11" i="10"/>
  <c r="D11" i="10"/>
  <c r="S55" i="10" s="1"/>
  <c r="S11" i="10" s="1"/>
  <c r="S56" i="10"/>
  <c r="D20" i="10"/>
  <c r="D28" i="10"/>
  <c r="O7" i="10"/>
  <c r="O5" i="10" s="1"/>
  <c r="D25" i="10"/>
  <c r="H7" i="10"/>
  <c r="H5" i="10" s="1"/>
  <c r="F7" i="10"/>
  <c r="F5" i="10"/>
  <c r="S22" i="10"/>
  <c r="K9" i="10"/>
  <c r="K5" i="10" s="1"/>
  <c r="D38" i="10"/>
  <c r="N9" i="10"/>
  <c r="N5" i="10"/>
  <c r="L7" i="11"/>
  <c r="L5" i="11"/>
  <c r="S42" i="16" l="1"/>
  <c r="S53" i="16"/>
  <c r="S59" i="16"/>
  <c r="S43" i="16"/>
  <c r="S46" i="16"/>
  <c r="S52" i="16"/>
  <c r="S45" i="16"/>
  <c r="S48" i="16"/>
  <c r="S60" i="16"/>
  <c r="S7" i="16"/>
  <c r="S35" i="16"/>
  <c r="S9" i="16" s="1"/>
  <c r="S56" i="16"/>
  <c r="S47" i="16"/>
  <c r="S38" i="16"/>
  <c r="D5" i="16"/>
  <c r="S7" i="15"/>
  <c r="P9" i="11"/>
  <c r="N9" i="11"/>
  <c r="N5" i="11" s="1"/>
  <c r="D47" i="11"/>
  <c r="D28" i="11"/>
  <c r="H7" i="11"/>
  <c r="O7" i="11"/>
  <c r="O5" i="11" s="1"/>
  <c r="S57" i="11"/>
  <c r="S22" i="11"/>
  <c r="S58" i="11"/>
  <c r="I9" i="11"/>
  <c r="H9" i="11"/>
  <c r="E7" i="11"/>
  <c r="E9" i="11"/>
  <c r="P5" i="11"/>
  <c r="F7" i="11"/>
  <c r="F5" i="11" s="1"/>
  <c r="K9" i="11"/>
  <c r="K5" i="11" s="1"/>
  <c r="I7" i="11"/>
  <c r="S9" i="15"/>
  <c r="M63" i="15"/>
  <c r="L63" i="15"/>
  <c r="P63" i="15"/>
  <c r="F63" i="15"/>
  <c r="E63" i="15"/>
  <c r="G63" i="15"/>
  <c r="K63" i="15"/>
  <c r="H63" i="15"/>
  <c r="Q63" i="15"/>
  <c r="N63" i="15"/>
  <c r="J63" i="15"/>
  <c r="O63" i="15"/>
  <c r="I63" i="15"/>
  <c r="S7" i="14"/>
  <c r="D9" i="14"/>
  <c r="R5" i="14"/>
  <c r="E5" i="10"/>
  <c r="S11" i="8"/>
  <c r="I7" i="10"/>
  <c r="D7" i="10" s="1"/>
  <c r="D26" i="8"/>
  <c r="O7" i="8"/>
  <c r="O5" i="8" s="1"/>
  <c r="S22" i="8"/>
  <c r="H7" i="8"/>
  <c r="H5" i="8" s="1"/>
  <c r="S56" i="8"/>
  <c r="D31" i="8"/>
  <c r="E9" i="8"/>
  <c r="D41" i="10"/>
  <c r="I9" i="10"/>
  <c r="D9" i="10" s="1"/>
  <c r="S37" i="10" s="1"/>
  <c r="D31" i="11"/>
  <c r="L7" i="8"/>
  <c r="L5" i="8" s="1"/>
  <c r="P5" i="8"/>
  <c r="D15" i="8"/>
  <c r="F7" i="8"/>
  <c r="D45" i="10"/>
  <c r="D20" i="11"/>
  <c r="D23" i="11"/>
  <c r="T48" i="16" l="1"/>
  <c r="K64" i="16"/>
  <c r="F64" i="16"/>
  <c r="J64" i="16"/>
  <c r="M64" i="16"/>
  <c r="P64" i="16"/>
  <c r="Q64" i="16"/>
  <c r="L64" i="16"/>
  <c r="I64" i="16"/>
  <c r="N64" i="16"/>
  <c r="H64" i="16"/>
  <c r="G64" i="16"/>
  <c r="O64" i="16"/>
  <c r="E64" i="16"/>
  <c r="E5" i="11"/>
  <c r="S11" i="11"/>
  <c r="I5" i="11"/>
  <c r="D7" i="11"/>
  <c r="S15" i="11" s="1"/>
  <c r="H5" i="11"/>
  <c r="D9" i="11"/>
  <c r="S33" i="11" s="1"/>
  <c r="S56" i="11"/>
  <c r="S50" i="11"/>
  <c r="S40" i="11"/>
  <c r="S36" i="11"/>
  <c r="S38" i="11"/>
  <c r="S42" i="11"/>
  <c r="S55" i="11"/>
  <c r="S30" i="11"/>
  <c r="S46" i="11"/>
  <c r="S45" i="11"/>
  <c r="S58" i="14"/>
  <c r="S37" i="14"/>
  <c r="S40" i="14"/>
  <c r="S45" i="14"/>
  <c r="S42" i="14"/>
  <c r="S44" i="14"/>
  <c r="S39" i="14"/>
  <c r="S57" i="14"/>
  <c r="S49" i="14"/>
  <c r="S36" i="14"/>
  <c r="S41" i="14"/>
  <c r="S50" i="14"/>
  <c r="S56" i="14"/>
  <c r="S59" i="14"/>
  <c r="S43" i="14"/>
  <c r="S55" i="14"/>
  <c r="S60" i="14"/>
  <c r="S33" i="14"/>
  <c r="S47" i="14"/>
  <c r="S53" i="14"/>
  <c r="S48" i="14"/>
  <c r="S35" i="14"/>
  <c r="S46" i="14"/>
  <c r="S54" i="14"/>
  <c r="D5" i="14"/>
  <c r="S61" i="14"/>
  <c r="S17" i="10"/>
  <c r="S19" i="10"/>
  <c r="S25" i="10"/>
  <c r="S16" i="10"/>
  <c r="S26" i="10"/>
  <c r="S24" i="10"/>
  <c r="S15" i="10"/>
  <c r="S21" i="10"/>
  <c r="S13" i="10"/>
  <c r="D5" i="10"/>
  <c r="E58" i="10" s="1"/>
  <c r="S29" i="10"/>
  <c r="S28" i="10"/>
  <c r="S14" i="10"/>
  <c r="S23" i="10"/>
  <c r="S18" i="10"/>
  <c r="S20" i="10"/>
  <c r="S13" i="11"/>
  <c r="S33" i="10"/>
  <c r="S41" i="10"/>
  <c r="D9" i="8"/>
  <c r="E5" i="8"/>
  <c r="S38" i="10"/>
  <c r="S27" i="11"/>
  <c r="S31" i="8"/>
  <c r="S43" i="10"/>
  <c r="S20" i="11"/>
  <c r="I5" i="10"/>
  <c r="S44" i="10"/>
  <c r="S45" i="10"/>
  <c r="F5" i="8"/>
  <c r="D7" i="8"/>
  <c r="S52" i="10"/>
  <c r="S24" i="11"/>
  <c r="S39" i="10"/>
  <c r="S15" i="8"/>
  <c r="S40" i="10"/>
  <c r="S42" i="10"/>
  <c r="S47" i="10"/>
  <c r="S36" i="10"/>
  <c r="S34" i="10"/>
  <c r="S50" i="10"/>
  <c r="S53" i="10"/>
  <c r="S51" i="10"/>
  <c r="S30" i="10"/>
  <c r="S32" i="10"/>
  <c r="S54" i="10"/>
  <c r="S48" i="10"/>
  <c r="S35" i="10"/>
  <c r="S31" i="10"/>
  <c r="S49" i="10"/>
  <c r="S46" i="10"/>
  <c r="S14" i="11" l="1"/>
  <c r="S18" i="11"/>
  <c r="S28" i="11"/>
  <c r="S29" i="11"/>
  <c r="S53" i="11"/>
  <c r="S16" i="11"/>
  <c r="S19" i="11"/>
  <c r="S17" i="11"/>
  <c r="S23" i="11"/>
  <c r="S39" i="11"/>
  <c r="S54" i="11"/>
  <c r="S25" i="11"/>
  <c r="S47" i="11"/>
  <c r="S37" i="11"/>
  <c r="S44" i="11"/>
  <c r="S41" i="11"/>
  <c r="D5" i="11"/>
  <c r="I60" i="11" s="1"/>
  <c r="S52" i="11"/>
  <c r="S48" i="11"/>
  <c r="S26" i="11"/>
  <c r="S21" i="11"/>
  <c r="S31" i="11"/>
  <c r="S51" i="11"/>
  <c r="S35" i="11"/>
  <c r="S34" i="11"/>
  <c r="S32" i="11"/>
  <c r="S49" i="11"/>
  <c r="S43" i="11"/>
  <c r="S9" i="14"/>
  <c r="G65" i="14"/>
  <c r="J65" i="14"/>
  <c r="Q65" i="14"/>
  <c r="L65" i="14"/>
  <c r="H65" i="14"/>
  <c r="E65" i="14"/>
  <c r="M65" i="14"/>
  <c r="N65" i="14"/>
  <c r="O65" i="14"/>
  <c r="I65" i="14"/>
  <c r="K65" i="14"/>
  <c r="F65" i="14"/>
  <c r="P65" i="14"/>
  <c r="S13" i="8"/>
  <c r="S18" i="8"/>
  <c r="S30" i="8"/>
  <c r="S23" i="8"/>
  <c r="S14" i="8"/>
  <c r="S29" i="8"/>
  <c r="S20" i="8"/>
  <c r="S17" i="8"/>
  <c r="D5" i="8"/>
  <c r="S25" i="8"/>
  <c r="S19" i="8"/>
  <c r="S28" i="8"/>
  <c r="S21" i="8"/>
  <c r="S16" i="8"/>
  <c r="S24" i="8"/>
  <c r="Q60" i="11"/>
  <c r="M60" i="11"/>
  <c r="K60" i="11"/>
  <c r="L60" i="11"/>
  <c r="P60" i="11"/>
  <c r="I58" i="10"/>
  <c r="S26" i="8"/>
  <c r="J58" i="10"/>
  <c r="G58" i="10"/>
  <c r="L58" i="10"/>
  <c r="P58" i="10"/>
  <c r="F58" i="10"/>
  <c r="O58" i="10"/>
  <c r="N58" i="10"/>
  <c r="K58" i="10"/>
  <c r="H58" i="10"/>
  <c r="M58" i="10"/>
  <c r="Q58" i="10"/>
  <c r="S9" i="10"/>
  <c r="S7" i="10"/>
  <c r="S54" i="8"/>
  <c r="S32" i="8"/>
  <c r="S50" i="8"/>
  <c r="S52" i="8"/>
  <c r="S36" i="8"/>
  <c r="S35" i="8"/>
  <c r="S9" i="8" s="1"/>
  <c r="S41" i="8"/>
  <c r="S49" i="8"/>
  <c r="S44" i="8"/>
  <c r="S39" i="8"/>
  <c r="S34" i="8"/>
  <c r="S33" i="8"/>
  <c r="S51" i="8"/>
  <c r="S38" i="8"/>
  <c r="S37" i="8"/>
  <c r="S47" i="8"/>
  <c r="S53" i="8"/>
  <c r="S42" i="8"/>
  <c r="S43" i="8"/>
  <c r="S40" i="8"/>
  <c r="S48" i="8"/>
  <c r="S45" i="8"/>
  <c r="S46" i="8"/>
  <c r="S7" i="11" l="1"/>
  <c r="F60" i="11"/>
  <c r="E60" i="11"/>
  <c r="O60" i="11"/>
  <c r="N60" i="11"/>
  <c r="G60" i="11"/>
  <c r="T44" i="11"/>
  <c r="S9" i="11"/>
  <c r="H60" i="11"/>
  <c r="J60" i="11"/>
  <c r="G58" i="8"/>
  <c r="M58" i="8"/>
  <c r="I58" i="8"/>
  <c r="J58" i="8"/>
  <c r="K58" i="8"/>
  <c r="N58" i="8"/>
  <c r="Q58" i="8"/>
  <c r="O58" i="8"/>
  <c r="P58" i="8"/>
  <c r="H58" i="8"/>
  <c r="L58" i="8"/>
  <c r="F58" i="8"/>
  <c r="E58" i="8"/>
  <c r="S7" i="8"/>
  <c r="I44" i="12" l="1"/>
  <c r="J44" i="12"/>
  <c r="T44" i="12"/>
  <c r="S44" i="12" l="1"/>
  <c r="AP65" i="19"/>
  <c r="AO65" i="19"/>
  <c r="G67" i="19" s="1"/>
  <c r="AN65" i="19"/>
  <c r="F67" i="19" s="1"/>
  <c r="R7" i="20" l="1"/>
  <c r="D7" i="20" s="1"/>
  <c r="S26" i="20" s="1"/>
  <c r="S21" i="20" l="1"/>
  <c r="S17" i="20"/>
  <c r="S28" i="20"/>
  <c r="S23" i="20"/>
  <c r="S29" i="20"/>
  <c r="S14" i="20"/>
  <c r="S30" i="20"/>
  <c r="D5" i="20"/>
  <c r="S13" i="20"/>
  <c r="S24" i="20"/>
  <c r="S16" i="20"/>
  <c r="S25" i="20"/>
  <c r="S19" i="20"/>
  <c r="S20" i="20"/>
  <c r="S15" i="20"/>
  <c r="S18" i="20"/>
  <c r="S7" i="20" l="1"/>
  <c r="E64" i="20"/>
  <c r="P64" i="20"/>
  <c r="M64" i="20"/>
  <c r="Q64" i="20"/>
  <c r="L64" i="20"/>
  <c r="I64" i="20"/>
  <c r="H64" i="20"/>
  <c r="O64" i="20"/>
  <c r="K64" i="20"/>
  <c r="N64" i="20"/>
  <c r="G64" i="20"/>
  <c r="J64" i="20"/>
  <c r="F64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T7" authorId="0" shapeId="0" xr:uid="{A68B009C-1C20-4502-83C1-1689ABEC490B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exclude 42nd Amendment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D7" authorId="0" shapeId="0" xr:uid="{FB4AFB05-FAA7-484F-A9F3-C51B903FA7DE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16000000-3013000.18
</t>
        </r>
      </text>
    </comment>
    <comment ref="D9" authorId="0" shapeId="0" xr:uid="{DD448A7B-0930-40A2-8283-D25BAF6FEB88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146000000+3013000.18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B54" authorId="0" shapeId="0" xr:uid="{564B8FF3-C338-407A-9884-ECEE812DBC6B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include 41st Amendment
</t>
        </r>
      </text>
    </comment>
    <comment ref="B57" authorId="0" shapeId="0" xr:uid="{AB8B33B2-46AC-4F0C-9095-9142E8785D78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include 43rd Amendment
</t>
        </r>
      </text>
    </comment>
  </commentList>
</comments>
</file>

<file path=xl/sharedStrings.xml><?xml version="1.0" encoding="utf-8"?>
<sst xmlns="http://schemas.openxmlformats.org/spreadsheetml/2006/main" count="1683" uniqueCount="213">
  <si>
    <t>Payment</t>
  </si>
  <si>
    <t>Date</t>
  </si>
  <si>
    <t>Principal</t>
  </si>
  <si>
    <t>Interest</t>
  </si>
  <si>
    <t>Total</t>
  </si>
  <si>
    <t xml:space="preserve"> </t>
  </si>
  <si>
    <t xml:space="preserve">       UMB Facilities Renewal (Academic) </t>
  </si>
  <si>
    <t xml:space="preserve">         UMBC Facilities Renewal (Academic)</t>
  </si>
  <si>
    <t>Percent</t>
  </si>
  <si>
    <t>Inst</t>
  </si>
  <si>
    <t>Type</t>
  </si>
  <si>
    <t>Project</t>
  </si>
  <si>
    <t>UMCP</t>
  </si>
  <si>
    <t>UMB</t>
  </si>
  <si>
    <t>UMBI</t>
  </si>
  <si>
    <t>UMES</t>
  </si>
  <si>
    <t>UMBC</t>
  </si>
  <si>
    <t>UMCES</t>
  </si>
  <si>
    <t>BSU</t>
  </si>
  <si>
    <t>CSU</t>
  </si>
  <si>
    <t>FSU</t>
  </si>
  <si>
    <t>SU</t>
  </si>
  <si>
    <t>TU</t>
  </si>
  <si>
    <t>UB</t>
  </si>
  <si>
    <t>by project</t>
  </si>
  <si>
    <t>Total dollars:</t>
  </si>
  <si>
    <t>Percent by Institution:</t>
  </si>
  <si>
    <t xml:space="preserve">          Distribution of Debt Services</t>
  </si>
  <si>
    <t xml:space="preserve">       University System of Maryland</t>
  </si>
  <si>
    <t xml:space="preserve">  UMCP Campus-Wide Bldg System (Acad)</t>
  </si>
  <si>
    <t xml:space="preserve">        UMBC Event Center and Arena (Aux)</t>
  </si>
  <si>
    <t xml:space="preserve">   UMCP Dorchester Residence Hall (Auxiliary)</t>
  </si>
  <si>
    <t xml:space="preserve">         UMCP Facilities Renewal (Acad)</t>
  </si>
  <si>
    <t xml:space="preserve">  UMCP N. Campus Dining Hall Replace (Aux)</t>
  </si>
  <si>
    <t xml:space="preserve">      UMCP Two New Residence Halls (Aux)</t>
  </si>
  <si>
    <t>Facilities Renewal Projects</t>
  </si>
  <si>
    <t>37th Acad</t>
  </si>
  <si>
    <t>Campuswide Building System &amp; Infrastructure</t>
  </si>
  <si>
    <t>New Academic Commons</t>
  </si>
  <si>
    <t>Emergency Projects</t>
  </si>
  <si>
    <t>36th Acad</t>
  </si>
  <si>
    <t>29th Acad</t>
  </si>
  <si>
    <t>Fine and Performing Arts Center</t>
  </si>
  <si>
    <t>28th Acad</t>
  </si>
  <si>
    <t>27th Acad</t>
  </si>
  <si>
    <t>39th Aux</t>
  </si>
  <si>
    <t>N. Campus Dining Hall Replacement</t>
  </si>
  <si>
    <t>Two New Residence Halls</t>
  </si>
  <si>
    <t>Event Center and Arena</t>
  </si>
  <si>
    <t>Union Addition/Renovation</t>
  </si>
  <si>
    <t>38th Aux</t>
  </si>
  <si>
    <t>Dorchester Residence Hall Renovation</t>
  </si>
  <si>
    <t>35th Aux</t>
  </si>
  <si>
    <t>Elevator &amp; Fire Alarm Imp, Parking Garage</t>
  </si>
  <si>
    <t>Five Dorm Renovation</t>
  </si>
  <si>
    <t>Debt Svc from Earnings\Accrued Int\Plant Fund</t>
  </si>
  <si>
    <t>40th Acad</t>
  </si>
  <si>
    <t>41st Acad</t>
  </si>
  <si>
    <t>Flood Mitigation</t>
  </si>
  <si>
    <t>USM</t>
  </si>
  <si>
    <t>41th Acad</t>
  </si>
  <si>
    <t>41st Aux</t>
  </si>
  <si>
    <t>Pharmacy and Health Professions</t>
  </si>
  <si>
    <t>South MD Higher Education Center Bldg III</t>
  </si>
  <si>
    <t>Interdisciplinary Life Science Building</t>
  </si>
  <si>
    <t>41,40,39,38th Acad</t>
  </si>
  <si>
    <t>41th Aux</t>
  </si>
  <si>
    <t>Retriever Activities Center Renewal</t>
  </si>
  <si>
    <t>Glen Towers Addition &amp; Renovation</t>
  </si>
  <si>
    <t xml:space="preserve">   UMES Phamacy &amp; Health Professions (Acad) </t>
  </si>
  <si>
    <t xml:space="preserve">  UMBC Interdisclipinary Life Sci Bldg (Acad)</t>
  </si>
  <si>
    <t xml:space="preserve">   BSU Facilities Renewal Projects (Academic)</t>
  </si>
  <si>
    <t xml:space="preserve">         CSU Facilities Renewal (Academic)</t>
  </si>
  <si>
    <t xml:space="preserve">         FSU Facilities Renewal (Academic)</t>
  </si>
  <si>
    <t xml:space="preserve">         SU Facilities Renewal (Academic)</t>
  </si>
  <si>
    <t xml:space="preserve">         TU Facilities Renewal (Academic)</t>
  </si>
  <si>
    <t xml:space="preserve">         UB Facilities Renewal (Academic)</t>
  </si>
  <si>
    <t xml:space="preserve">  USM S. MD Higher Edu Ctr Bldg III (Acad)</t>
  </si>
  <si>
    <t>Principal-Total</t>
  </si>
  <si>
    <t>Interest-Total</t>
  </si>
  <si>
    <t>UMBC Retriver Activities Center Renewal (Aux)</t>
  </si>
  <si>
    <t>10 Years Bonds:</t>
  </si>
  <si>
    <t xml:space="preserve">20 Years Bonds: </t>
  </si>
  <si>
    <t xml:space="preserve">UMBC </t>
  </si>
  <si>
    <t>Utility Upgrades</t>
  </si>
  <si>
    <t>37,36th Acad</t>
  </si>
  <si>
    <t>New Health Services and Counseling Building</t>
  </si>
  <si>
    <t xml:space="preserve">       UMES Facilities Renewal (Academic) </t>
  </si>
  <si>
    <t xml:space="preserve">        UMBC Utilitiy Upgrades (Acad)</t>
  </si>
  <si>
    <t>UMBC New Health Svc &amp; Counseling Bldg (Aux)</t>
  </si>
  <si>
    <t xml:space="preserve"> USM SG Service Center and Nursing (Acad)</t>
  </si>
  <si>
    <t>42nd Acad</t>
  </si>
  <si>
    <t>Education &amp; Health Sciences</t>
  </si>
  <si>
    <t>33rd Acad</t>
  </si>
  <si>
    <t>New Performing Arts &amp; Humanities Facility</t>
  </si>
  <si>
    <t xml:space="preserve">       UMES Emergency Projects (Academic) </t>
  </si>
  <si>
    <t xml:space="preserve">           Total Auxiliary Projects - 2021A</t>
  </si>
  <si>
    <t xml:space="preserve">    2021 Series A Bond Funded Projects</t>
  </si>
  <si>
    <t>2021 Series A Bonds</t>
  </si>
  <si>
    <t xml:space="preserve">30 Years Bonds: </t>
  </si>
  <si>
    <t xml:space="preserve">      2021A - Refunding</t>
  </si>
  <si>
    <t xml:space="preserve">                                                                                                  Total Debt Services - 2021A</t>
  </si>
  <si>
    <t xml:space="preserve">          Total Debt Services - 2021 Series A</t>
  </si>
  <si>
    <t xml:space="preserve">           2021 A Bonds (10 Years Bonds)</t>
  </si>
  <si>
    <t xml:space="preserve">         Total Facilities Renewal - 2021A</t>
  </si>
  <si>
    <t xml:space="preserve">           2021 A Bonds (20 Years Bonds)</t>
  </si>
  <si>
    <t xml:space="preserve">         Total Academic Projects - 2021A</t>
  </si>
  <si>
    <t xml:space="preserve">        Total Academic Projects - 2021A</t>
  </si>
  <si>
    <t xml:space="preserve">      Total UMCP Housing Projects - 2021A</t>
  </si>
  <si>
    <t>Chemistry Building Wing 2, 3, 5</t>
  </si>
  <si>
    <t>Public Policy Building</t>
  </si>
  <si>
    <t>Physics Building</t>
  </si>
  <si>
    <t>42nd Amendment Acad</t>
  </si>
  <si>
    <t>42, Acad</t>
  </si>
  <si>
    <t>42,41 Acad</t>
  </si>
  <si>
    <t>41 Acad</t>
  </si>
  <si>
    <t>42,41,40 Acad</t>
  </si>
  <si>
    <t>41,39 Acad</t>
  </si>
  <si>
    <t>39,38 Acad</t>
  </si>
  <si>
    <t>42,41,37 Acad</t>
  </si>
  <si>
    <t>42,36th Acad</t>
  </si>
  <si>
    <t>41,40,39,36 Acad</t>
  </si>
  <si>
    <t>42,41,40,39,38,37,36,35,34,32,29 Acad</t>
  </si>
  <si>
    <t>41,40,39,38,36,32,29 Acad</t>
  </si>
  <si>
    <t>42 Aux</t>
  </si>
  <si>
    <t>42,41 Aux</t>
  </si>
  <si>
    <t>41,40,39 Aux</t>
  </si>
  <si>
    <t>42,41,40,39,38 Aux</t>
  </si>
  <si>
    <t>Balance</t>
  </si>
  <si>
    <t xml:space="preserve">         UMCP Emergency Projects (Acad)</t>
  </si>
  <si>
    <t xml:space="preserve">  UMCP Chemistry Building Wing (Acad)</t>
  </si>
  <si>
    <t xml:space="preserve">    UMCP Public Policy Building (Acad)</t>
  </si>
  <si>
    <t xml:space="preserve">      UMCP Physics Building (Acad)</t>
  </si>
  <si>
    <t xml:space="preserve">  FSU Education &amp; Health Sciences (Acad)</t>
  </si>
  <si>
    <t>UMB Elevator &amp; Fire Alarm Improvement (Aux)</t>
  </si>
  <si>
    <t xml:space="preserve">            </t>
  </si>
  <si>
    <t>41,37th Acad</t>
  </si>
  <si>
    <t>43rd Acad</t>
  </si>
  <si>
    <t>Infrastructure Projects</t>
  </si>
  <si>
    <t>43,42,41,40 Acad</t>
  </si>
  <si>
    <t>41,40 Acad</t>
  </si>
  <si>
    <t>42,41,37,32 Acad</t>
  </si>
  <si>
    <t>37th Aux</t>
  </si>
  <si>
    <t>Residence Tower Renovation</t>
  </si>
  <si>
    <t xml:space="preserve">      UMCP Infrastructure Projects (Acad)</t>
  </si>
  <si>
    <t>41,39,38 Acad</t>
  </si>
  <si>
    <t>43rd Amendment</t>
  </si>
  <si>
    <t>Natural Gas Conversion</t>
  </si>
  <si>
    <t>43,42,41,40,39,38 Aux</t>
  </si>
  <si>
    <t>43,42,41 Aux</t>
  </si>
  <si>
    <t>40th Aux</t>
  </si>
  <si>
    <t>Rossborough Lane Parking Garage</t>
  </si>
  <si>
    <t>41t,39h Aux</t>
  </si>
  <si>
    <t xml:space="preserve">     UMES Natural Gas Conversion (Aux)</t>
  </si>
  <si>
    <t>42nd Amendment</t>
  </si>
  <si>
    <t>Facilities Renewal Projects - charge as Auxillary</t>
  </si>
  <si>
    <t>Chemistry Building Wing 2, 3, 5 charge as Auxillary</t>
  </si>
  <si>
    <t>Public Policy Building- charge as Auxillary</t>
  </si>
  <si>
    <t>Physics Building - charge as Auxillary</t>
  </si>
  <si>
    <t>Facilities Renewal Projects - charge as auxillary</t>
  </si>
  <si>
    <t>Chemistry Building Wing 2, 3, 5 - charge as auxillary</t>
  </si>
  <si>
    <t>Public Policy Building - charge as auxillary</t>
  </si>
  <si>
    <t>Physics Building - charge as auxillary</t>
  </si>
  <si>
    <t>revised</t>
  </si>
  <si>
    <t>Charge as Auxillary</t>
  </si>
  <si>
    <t>same schedule</t>
  </si>
  <si>
    <t>new</t>
  </si>
  <si>
    <t>UMB Facilities Renewal Projs-42nd Amendment</t>
  </si>
  <si>
    <t>University System of Maryland</t>
  </si>
  <si>
    <t>Distribution of Debt Services</t>
  </si>
  <si>
    <t>2021 Series A Bond Funded Projects</t>
  </si>
  <si>
    <t>Reduce Acad Amount:</t>
  </si>
  <si>
    <t>original - include 42nd Amendment &amp; regular</t>
  </si>
  <si>
    <t>revised - exclude 42nd Amendment</t>
  </si>
  <si>
    <t xml:space="preserve">       UMB Facilities Renewal (Academic) 10yrs</t>
  </si>
  <si>
    <t>UMB Facilities Renewal Projs-Acad Adjustment 10 yrs</t>
  </si>
  <si>
    <t>Charge as Auxillary and Reduce Acad</t>
  </si>
  <si>
    <t>42nd Amendment Bond - UMCP Chem, Public Policy Building and Physics Building</t>
  </si>
  <si>
    <t>42nd Amendment Bond - Debt Adjustment (20 years bond)</t>
  </si>
  <si>
    <r>
      <t xml:space="preserve">UMCP Chem Building Wing </t>
    </r>
    <r>
      <rPr>
        <sz val="10"/>
        <color rgb="FFFF0000"/>
        <rFont val="Arial"/>
        <family val="2"/>
      </rPr>
      <t>-42nd Amendment (Aux)</t>
    </r>
  </si>
  <si>
    <r>
      <t xml:space="preserve">UMB Facilities Renewal </t>
    </r>
    <r>
      <rPr>
        <sz val="10"/>
        <color rgb="FFFF0000"/>
        <rFont val="Arial"/>
        <family val="2"/>
      </rPr>
      <t>42nd Amendment (Aux)</t>
    </r>
  </si>
  <si>
    <t xml:space="preserve">      2021A - 30 Year Bond</t>
  </si>
  <si>
    <t xml:space="preserve">      2021A - 20 Year Bond</t>
  </si>
  <si>
    <t xml:space="preserve">      2021A - 10 Year Bond</t>
  </si>
  <si>
    <t>20 Year Bond</t>
  </si>
  <si>
    <t xml:space="preserve">                 2021A - 10 Year Bond</t>
  </si>
  <si>
    <t>20 year bond</t>
  </si>
  <si>
    <t>10 year bond</t>
  </si>
  <si>
    <t>30 Year Bonds</t>
  </si>
  <si>
    <t xml:space="preserve">                 2021A - 30 Year Bond</t>
  </si>
  <si>
    <t xml:space="preserve"> 2021A - 20 Year Bond</t>
  </si>
  <si>
    <t xml:space="preserve"> 2021A Bonds - Total              </t>
  </si>
  <si>
    <t xml:space="preserve">       UMES Flood Mitigation (Acad) </t>
  </si>
  <si>
    <r>
      <t xml:space="preserve">UMCP Public Policy Bldg </t>
    </r>
    <r>
      <rPr>
        <sz val="10"/>
        <color rgb="FFFF0000"/>
        <rFont val="Arial"/>
        <family val="2"/>
      </rPr>
      <t>42nd Amendment(Aux)</t>
    </r>
  </si>
  <si>
    <r>
      <t xml:space="preserve">      UMCP Physics Bldg </t>
    </r>
    <r>
      <rPr>
        <sz val="10"/>
        <color rgb="FFFF0000"/>
        <rFont val="Arial"/>
        <family val="2"/>
      </rPr>
      <t>42nd Amendment (Aux)</t>
    </r>
  </si>
  <si>
    <t xml:space="preserve">   UMCP Rossborough Lane Parking Garage (Aux)</t>
  </si>
  <si>
    <t xml:space="preserve">       FSU Five Dorm Renovation (Aux)</t>
  </si>
  <si>
    <t xml:space="preserve"> TU Glen Towers &amp; Addition &amp; Renov (Aux)</t>
  </si>
  <si>
    <t>TU Residence Tower Renovation (Aux)</t>
  </si>
  <si>
    <t>TU Union Addition/Renovation (Aux)</t>
  </si>
  <si>
    <t>42nd Amendment Bond - UMB Facilities Renewal Projects (move from 10-year to 20-year bond and charge as auxillary projects)</t>
  </si>
  <si>
    <t>44, 43 Acad</t>
  </si>
  <si>
    <t>Plant Fund Account</t>
  </si>
  <si>
    <t>original - 10 year bond</t>
  </si>
  <si>
    <t>original - 20 year bond</t>
  </si>
  <si>
    <t>adjustment</t>
  </si>
  <si>
    <t>net adjustment</t>
  </si>
  <si>
    <t>principal</t>
  </si>
  <si>
    <t>interest</t>
  </si>
  <si>
    <t>matched with MeiChin Trustee pymt adj, but why did she only adjust 10/1/22?</t>
  </si>
  <si>
    <t>Debt Svc from Plant Fund\Trustee Accounts</t>
  </si>
  <si>
    <t>Amort of</t>
  </si>
  <si>
    <t>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</si>
</sst>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"/>
    <numFmt numFmtId="165" formatCode="0.00000%"/>
  </numFmts>
  <fonts count="10" x14ac:knownFonts="1">
    <font>
      <sz val="10"/>
      <name val="Arial"/>
    </font>
    <font>
      <sz val="10"/>
      <name val="Arial"/>
      <family val="2"/>
    </font>
    <font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0">
    <xf numFmtId="0" fontId="0" fillId="0" borderId="0" xfId="0"/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38" fontId="0" fillId="0" borderId="0" xfId="0" applyNumberFormat="1" applyAlignment="1">
      <alignment horizontal="right"/>
    </xf>
    <xf numFmtId="38" fontId="0" fillId="0" borderId="0" xfId="0" quotePrefix="1" applyNumberFormat="1" applyAlignment="1">
      <alignment horizontal="left"/>
    </xf>
    <xf numFmtId="38" fontId="0" fillId="0" borderId="0" xfId="0" applyNumberFormat="1"/>
    <xf numFmtId="3" fontId="0" fillId="0" borderId="0" xfId="0" applyNumberFormat="1"/>
    <xf numFmtId="38" fontId="0" fillId="0" borderId="0" xfId="0" applyNumberFormat="1" applyAlignment="1">
      <alignment horizontal="left"/>
    </xf>
    <xf numFmtId="165" fontId="0" fillId="0" borderId="0" xfId="0" applyNumberFormat="1"/>
    <xf numFmtId="164" fontId="0" fillId="0" borderId="1" xfId="0" applyNumberFormat="1" applyBorder="1" applyAlignment="1">
      <alignment horizontal="center"/>
    </xf>
    <xf numFmtId="38" fontId="0" fillId="2" borderId="2" xfId="0" applyNumberFormat="1" applyFill="1" applyBorder="1" applyAlignment="1">
      <alignment horizontal="right"/>
    </xf>
    <xf numFmtId="38" fontId="0" fillId="2" borderId="3" xfId="0" applyNumberFormat="1" applyFill="1" applyBorder="1" applyAlignment="1">
      <alignment horizontal="right"/>
    </xf>
    <xf numFmtId="38" fontId="0" fillId="0" borderId="4" xfId="0" quotePrefix="1" applyNumberFormat="1" applyBorder="1" applyAlignment="1">
      <alignment horizontal="left"/>
    </xf>
    <xf numFmtId="38" fontId="0" fillId="0" borderId="5" xfId="0" applyNumberFormat="1" applyBorder="1" applyAlignment="1">
      <alignment horizontal="right"/>
    </xf>
    <xf numFmtId="38" fontId="0" fillId="0" borderId="3" xfId="0" applyNumberFormat="1" applyBorder="1" applyAlignment="1">
      <alignment horizontal="right"/>
    </xf>
    <xf numFmtId="3" fontId="0" fillId="0" borderId="2" xfId="0" applyNumberFormat="1" applyBorder="1"/>
    <xf numFmtId="3" fontId="0" fillId="0" borderId="3" xfId="0" applyNumberFormat="1" applyBorder="1"/>
    <xf numFmtId="3" fontId="0" fillId="0" borderId="4" xfId="0" applyNumberFormat="1" applyBorder="1" applyAlignment="1">
      <alignment horizontal="left"/>
    </xf>
    <xf numFmtId="165" fontId="0" fillId="0" borderId="6" xfId="0" applyNumberFormat="1" applyBorder="1" applyAlignment="1">
      <alignment horizontal="center"/>
    </xf>
    <xf numFmtId="165" fontId="0" fillId="0" borderId="7" xfId="0" applyNumberFormat="1" applyBorder="1"/>
    <xf numFmtId="165" fontId="0" fillId="0" borderId="5" xfId="0" applyNumberFormat="1" applyBorder="1"/>
    <xf numFmtId="165" fontId="0" fillId="0" borderId="3" xfId="0" applyNumberFormat="1" applyBorder="1" applyAlignment="1">
      <alignment horizontal="right"/>
    </xf>
    <xf numFmtId="165" fontId="0" fillId="0" borderId="4" xfId="0" quotePrefix="1" applyNumberFormat="1" applyBorder="1" applyAlignment="1">
      <alignment horizontal="right"/>
    </xf>
    <xf numFmtId="165" fontId="0" fillId="0" borderId="2" xfId="0" applyNumberFormat="1" applyBorder="1"/>
    <xf numFmtId="164" fontId="0" fillId="0" borderId="8" xfId="0" applyNumberFormat="1" applyBorder="1" applyAlignment="1">
      <alignment horizontal="center"/>
    </xf>
    <xf numFmtId="38" fontId="0" fillId="0" borderId="9" xfId="0" applyNumberFormat="1" applyBorder="1" applyAlignment="1">
      <alignment horizontal="center"/>
    </xf>
    <xf numFmtId="3" fontId="0" fillId="0" borderId="9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/>
    <xf numFmtId="14" fontId="0" fillId="0" borderId="0" xfId="0" applyNumberFormat="1"/>
    <xf numFmtId="164" fontId="0" fillId="0" borderId="0" xfId="0" applyNumberFormat="1" applyAlignment="1">
      <alignment horizontal="center"/>
    </xf>
    <xf numFmtId="38" fontId="0" fillId="0" borderId="10" xfId="0" applyNumberFormat="1" applyBorder="1" applyAlignment="1">
      <alignment horizontal="right"/>
    </xf>
    <xf numFmtId="38" fontId="0" fillId="0" borderId="11" xfId="0" applyNumberFormat="1" applyBorder="1" applyAlignment="1">
      <alignment horizontal="right"/>
    </xf>
    <xf numFmtId="38" fontId="0" fillId="0" borderId="4" xfId="0" applyNumberFormat="1" applyBorder="1" applyAlignment="1">
      <alignment horizontal="left"/>
    </xf>
    <xf numFmtId="165" fontId="0" fillId="0" borderId="7" xfId="0" applyNumberFormat="1" applyBorder="1" applyAlignment="1">
      <alignment horizontal="right"/>
    </xf>
    <xf numFmtId="40" fontId="0" fillId="0" borderId="0" xfId="0" applyNumberFormat="1"/>
    <xf numFmtId="0" fontId="0" fillId="0" borderId="4" xfId="0" applyBorder="1" applyAlignment="1">
      <alignment horizontal="center"/>
    </xf>
    <xf numFmtId="40" fontId="0" fillId="0" borderId="4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40" fontId="0" fillId="0" borderId="12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0" xfId="0" applyAlignment="1">
      <alignment horizontal="right"/>
    </xf>
    <xf numFmtId="40" fontId="0" fillId="0" borderId="13" xfId="0" applyNumberFormat="1" applyBorder="1" applyAlignment="1">
      <alignment horizontal="right"/>
    </xf>
    <xf numFmtId="165" fontId="0" fillId="0" borderId="13" xfId="0" applyNumberFormat="1" applyBorder="1" applyAlignment="1">
      <alignment horizontal="right"/>
    </xf>
    <xf numFmtId="0" fontId="0" fillId="0" borderId="0" xfId="0" applyAlignment="1">
      <alignment horizontal="center"/>
    </xf>
    <xf numFmtId="40" fontId="0" fillId="0" borderId="0" xfId="0" applyNumberFormat="1" applyAlignment="1">
      <alignment horizontal="center"/>
    </xf>
    <xf numFmtId="40" fontId="0" fillId="0" borderId="0" xfId="0" applyNumberFormat="1" applyAlignment="1">
      <alignment horizontal="right"/>
    </xf>
    <xf numFmtId="40" fontId="0" fillId="0" borderId="14" xfId="0" applyNumberFormat="1" applyBorder="1"/>
    <xf numFmtId="165" fontId="0" fillId="0" borderId="14" xfId="0" applyNumberFormat="1" applyBorder="1"/>
    <xf numFmtId="4" fontId="0" fillId="0" borderId="0" xfId="0" applyNumberFormat="1"/>
    <xf numFmtId="165" fontId="0" fillId="0" borderId="0" xfId="0" quotePrefix="1" applyNumberFormat="1" applyAlignment="1">
      <alignment horizontal="right"/>
    </xf>
    <xf numFmtId="165" fontId="0" fillId="0" borderId="10" xfId="0" applyNumberFormat="1" applyBorder="1"/>
    <xf numFmtId="165" fontId="0" fillId="0" borderId="13" xfId="0" applyNumberFormat="1" applyBorder="1"/>
    <xf numFmtId="40" fontId="0" fillId="0" borderId="0" xfId="0" quotePrefix="1" applyNumberFormat="1" applyAlignment="1">
      <alignment horizontal="left"/>
    </xf>
    <xf numFmtId="165" fontId="0" fillId="0" borderId="0" xfId="0" applyNumberFormat="1" applyAlignment="1">
      <alignment horizontal="right"/>
    </xf>
    <xf numFmtId="0" fontId="1" fillId="0" borderId="0" xfId="0" applyFont="1" applyAlignment="1">
      <alignment horizontal="left"/>
    </xf>
    <xf numFmtId="38" fontId="1" fillId="0" borderId="4" xfId="0" applyNumberFormat="1" applyFont="1" applyBorder="1" applyAlignment="1">
      <alignment horizontal="left"/>
    </xf>
    <xf numFmtId="38" fontId="1" fillId="3" borderId="4" xfId="0" quotePrefix="1" applyNumberFormat="1" applyFont="1" applyFill="1" applyBorder="1" applyAlignment="1">
      <alignment horizontal="left"/>
    </xf>
    <xf numFmtId="38" fontId="1" fillId="0" borderId="9" xfId="0" applyNumberFormat="1" applyFont="1" applyBorder="1" applyAlignment="1">
      <alignment horizontal="center"/>
    </xf>
    <xf numFmtId="38" fontId="0" fillId="0" borderId="0" xfId="0" applyNumberFormat="1" applyAlignment="1">
      <alignment horizontal="center"/>
    </xf>
    <xf numFmtId="38" fontId="1" fillId="0" borderId="0" xfId="0" quotePrefix="1" applyNumberFormat="1" applyFont="1" applyAlignment="1">
      <alignment horizontal="left"/>
    </xf>
    <xf numFmtId="38" fontId="1" fillId="2" borderId="4" xfId="0" quotePrefix="1" applyNumberFormat="1" applyFont="1" applyFill="1" applyBorder="1" applyAlignment="1">
      <alignment horizontal="left"/>
    </xf>
    <xf numFmtId="0" fontId="1" fillId="0" borderId="0" xfId="0" quotePrefix="1" applyFont="1" applyAlignment="1">
      <alignment horizontal="left"/>
    </xf>
    <xf numFmtId="38" fontId="0" fillId="0" borderId="2" xfId="0" applyNumberFormat="1" applyBorder="1"/>
    <xf numFmtId="38" fontId="1" fillId="0" borderId="0" xfId="0" applyNumberFormat="1" applyFont="1"/>
    <xf numFmtId="38" fontId="2" fillId="0" borderId="4" xfId="0" applyNumberFormat="1" applyFont="1" applyBorder="1" applyAlignment="1">
      <alignment horizontal="left"/>
    </xf>
    <xf numFmtId="38" fontId="2" fillId="0" borderId="5" xfId="0" applyNumberFormat="1" applyFont="1" applyBorder="1" applyAlignment="1">
      <alignment horizontal="right"/>
    </xf>
    <xf numFmtId="38" fontId="2" fillId="0" borderId="11" xfId="0" applyNumberFormat="1" applyFont="1" applyBorder="1" applyAlignment="1">
      <alignment horizontal="right"/>
    </xf>
    <xf numFmtId="38" fontId="1" fillId="2" borderId="7" xfId="0" quotePrefix="1" applyNumberFormat="1" applyFont="1" applyFill="1" applyBorder="1" applyAlignment="1">
      <alignment horizontal="left"/>
    </xf>
    <xf numFmtId="38" fontId="0" fillId="2" borderId="5" xfId="0" applyNumberFormat="1" applyFill="1" applyBorder="1" applyAlignment="1">
      <alignment horizontal="right"/>
    </xf>
    <xf numFmtId="165" fontId="1" fillId="4" borderId="7" xfId="0" quotePrefix="1" applyNumberFormat="1" applyFont="1" applyFill="1" applyBorder="1"/>
    <xf numFmtId="165" fontId="0" fillId="4" borderId="11" xfId="0" applyNumberFormat="1" applyFill="1" applyBorder="1"/>
    <xf numFmtId="38" fontId="0" fillId="4" borderId="5" xfId="0" applyNumberForma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15" xfId="0" applyFont="1" applyBorder="1" applyAlignment="1">
      <alignment horizontal="left"/>
    </xf>
    <xf numFmtId="40" fontId="0" fillId="0" borderId="15" xfId="0" applyNumberFormat="1" applyBorder="1"/>
    <xf numFmtId="40" fontId="0" fillId="0" borderId="15" xfId="0" applyNumberFormat="1" applyBorder="1" applyAlignment="1">
      <alignment horizontal="right"/>
    </xf>
    <xf numFmtId="40" fontId="0" fillId="0" borderId="15" xfId="0" applyNumberFormat="1" applyBorder="1" applyAlignment="1">
      <alignment horizontal="center"/>
    </xf>
    <xf numFmtId="165" fontId="0" fillId="0" borderId="15" xfId="0" applyNumberFormat="1" applyBorder="1"/>
    <xf numFmtId="0" fontId="2" fillId="0" borderId="15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40" fontId="0" fillId="0" borderId="14" xfId="0" applyNumberFormat="1" applyBorder="1" applyAlignment="1">
      <alignment horizontal="right"/>
    </xf>
    <xf numFmtId="40" fontId="0" fillId="0" borderId="14" xfId="0" applyNumberFormat="1" applyBorder="1" applyAlignment="1">
      <alignment horizontal="center"/>
    </xf>
    <xf numFmtId="165" fontId="0" fillId="0" borderId="11" xfId="0" applyNumberFormat="1" applyBorder="1"/>
    <xf numFmtId="40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left"/>
    </xf>
    <xf numFmtId="165" fontId="0" fillId="0" borderId="4" xfId="0" quotePrefix="1" applyNumberFormat="1" applyBorder="1" applyAlignment="1">
      <alignment horizontal="left"/>
    </xf>
    <xf numFmtId="165" fontId="2" fillId="0" borderId="2" xfId="0" applyNumberFormat="1" applyFont="1" applyBorder="1" applyAlignment="1">
      <alignment horizontal="center"/>
    </xf>
    <xf numFmtId="165" fontId="2" fillId="3" borderId="7" xfId="0" quotePrefix="1" applyNumberFormat="1" applyFont="1" applyFill="1" applyBorder="1"/>
    <xf numFmtId="165" fontId="2" fillId="3" borderId="5" xfId="0" applyNumberFormat="1" applyFont="1" applyFill="1" applyBorder="1"/>
    <xf numFmtId="165" fontId="2" fillId="3" borderId="3" xfId="0" applyNumberFormat="1" applyFont="1" applyFill="1" applyBorder="1" applyAlignment="1">
      <alignment horizontal="right"/>
    </xf>
    <xf numFmtId="3" fontId="0" fillId="4" borderId="4" xfId="0" applyNumberFormat="1" applyFill="1" applyBorder="1" applyAlignment="1">
      <alignment horizontal="left"/>
    </xf>
    <xf numFmtId="3" fontId="0" fillId="4" borderId="2" xfId="0" applyNumberFormat="1" applyFill="1" applyBorder="1"/>
    <xf numFmtId="3" fontId="0" fillId="4" borderId="3" xfId="0" applyNumberFormat="1" applyFill="1" applyBorder="1"/>
    <xf numFmtId="40" fontId="1" fillId="0" borderId="12" xfId="0" applyNumberFormat="1" applyFont="1" applyBorder="1" applyAlignment="1">
      <alignment horizontal="center"/>
    </xf>
    <xf numFmtId="40" fontId="1" fillId="0" borderId="4" xfId="0" applyNumberFormat="1" applyFont="1" applyBorder="1" applyAlignment="1">
      <alignment horizontal="center"/>
    </xf>
    <xf numFmtId="38" fontId="1" fillId="4" borderId="4" xfId="0" quotePrefix="1" applyNumberFormat="1" applyFont="1" applyFill="1" applyBorder="1" applyAlignment="1">
      <alignment horizontal="left"/>
    </xf>
    <xf numFmtId="38" fontId="0" fillId="4" borderId="3" xfId="0" applyNumberFormat="1" applyFill="1" applyBorder="1" applyAlignment="1">
      <alignment horizontal="right"/>
    </xf>
    <xf numFmtId="165" fontId="2" fillId="0" borderId="7" xfId="0" quotePrefix="1" applyNumberFormat="1" applyFont="1" applyBorder="1"/>
    <xf numFmtId="165" fontId="2" fillId="0" borderId="3" xfId="0" applyNumberFormat="1" applyFon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3" fontId="0" fillId="3" borderId="6" xfId="0" applyNumberFormat="1" applyFill="1" applyBorder="1"/>
    <xf numFmtId="0" fontId="0" fillId="0" borderId="16" xfId="0" applyBorder="1" applyAlignment="1">
      <alignment horizontal="left"/>
    </xf>
    <xf numFmtId="0" fontId="1" fillId="0" borderId="16" xfId="0" applyFont="1" applyBorder="1" applyAlignment="1">
      <alignment horizontal="left"/>
    </xf>
    <xf numFmtId="40" fontId="0" fillId="0" borderId="16" xfId="0" applyNumberFormat="1" applyBorder="1"/>
    <xf numFmtId="40" fontId="0" fillId="0" borderId="16" xfId="0" applyNumberFormat="1" applyBorder="1" applyAlignment="1">
      <alignment horizontal="right"/>
    </xf>
    <xf numFmtId="40" fontId="0" fillId="0" borderId="16" xfId="0" applyNumberFormat="1" applyBorder="1" applyAlignment="1">
      <alignment horizontal="center"/>
    </xf>
    <xf numFmtId="165" fontId="0" fillId="0" borderId="16" xfId="0" applyNumberFormat="1" applyBorder="1"/>
    <xf numFmtId="40" fontId="1" fillId="0" borderId="0" xfId="0" applyNumberFormat="1" applyFont="1"/>
    <xf numFmtId="0" fontId="1" fillId="5" borderId="0" xfId="0" applyFont="1" applyFill="1" applyAlignment="1">
      <alignment horizontal="left"/>
    </xf>
    <xf numFmtId="40" fontId="0" fillId="5" borderId="0" xfId="0" applyNumberFormat="1" applyFill="1"/>
    <xf numFmtId="40" fontId="0" fillId="5" borderId="0" xfId="0" applyNumberFormat="1" applyFill="1" applyAlignment="1">
      <alignment horizontal="right"/>
    </xf>
    <xf numFmtId="40" fontId="0" fillId="5" borderId="0" xfId="0" applyNumberFormat="1" applyFill="1" applyAlignment="1">
      <alignment horizontal="center"/>
    </xf>
    <xf numFmtId="165" fontId="0" fillId="5" borderId="0" xfId="0" applyNumberFormat="1" applyFill="1"/>
    <xf numFmtId="40" fontId="0" fillId="0" borderId="0" xfId="0" applyNumberFormat="1" applyAlignment="1">
      <alignment horizontal="left"/>
    </xf>
    <xf numFmtId="0" fontId="0" fillId="6" borderId="0" xfId="0" applyFill="1" applyAlignment="1">
      <alignment horizontal="left"/>
    </xf>
    <xf numFmtId="0" fontId="1" fillId="6" borderId="0" xfId="0" applyFont="1" applyFill="1" applyAlignment="1">
      <alignment horizontal="left"/>
    </xf>
    <xf numFmtId="40" fontId="0" fillId="6" borderId="0" xfId="0" applyNumberFormat="1" applyFill="1" applyAlignment="1">
      <alignment horizontal="right"/>
    </xf>
    <xf numFmtId="165" fontId="0" fillId="6" borderId="0" xfId="0" applyNumberFormat="1" applyFill="1"/>
    <xf numFmtId="0" fontId="2" fillId="0" borderId="0" xfId="0" applyFont="1" applyAlignment="1">
      <alignment horizontal="left"/>
    </xf>
    <xf numFmtId="0" fontId="0" fillId="7" borderId="0" xfId="0" applyFill="1" applyAlignment="1">
      <alignment horizontal="left"/>
    </xf>
    <xf numFmtId="0" fontId="1" fillId="7" borderId="0" xfId="0" applyFont="1" applyFill="1" applyAlignment="1">
      <alignment horizontal="left"/>
    </xf>
    <xf numFmtId="40" fontId="0" fillId="7" borderId="0" xfId="0" applyNumberFormat="1" applyFill="1"/>
    <xf numFmtId="40" fontId="0" fillId="7" borderId="0" xfId="0" applyNumberFormat="1" applyFill="1" applyAlignment="1">
      <alignment horizontal="right"/>
    </xf>
    <xf numFmtId="40" fontId="0" fillId="7" borderId="0" xfId="0" applyNumberFormat="1" applyFill="1" applyAlignment="1">
      <alignment horizontal="center"/>
    </xf>
    <xf numFmtId="40" fontId="0" fillId="6" borderId="0" xfId="0" applyNumberFormat="1" applyFill="1"/>
    <xf numFmtId="40" fontId="0" fillId="6" borderId="0" xfId="0" applyNumberFormat="1" applyFill="1" applyAlignment="1">
      <alignment horizontal="center"/>
    </xf>
    <xf numFmtId="165" fontId="0" fillId="6" borderId="16" xfId="0" applyNumberFormat="1" applyFill="1" applyBorder="1"/>
    <xf numFmtId="165" fontId="0" fillId="6" borderId="15" xfId="0" applyNumberFormat="1" applyFill="1" applyBorder="1"/>
    <xf numFmtId="165" fontId="1" fillId="0" borderId="0" xfId="0" applyNumberFormat="1" applyFont="1" applyAlignment="1">
      <alignment horizontal="right"/>
    </xf>
    <xf numFmtId="165" fontId="0" fillId="6" borderId="3" xfId="0" applyNumberFormat="1" applyFill="1" applyBorder="1" applyAlignment="1">
      <alignment horizontal="right"/>
    </xf>
    <xf numFmtId="0" fontId="1" fillId="0" borderId="0" xfId="0" applyFont="1"/>
    <xf numFmtId="38" fontId="0" fillId="6" borderId="2" xfId="0" applyNumberFormat="1" applyFill="1" applyBorder="1"/>
    <xf numFmtId="38" fontId="0" fillId="6" borderId="0" xfId="0" applyNumberFormat="1" applyFill="1"/>
    <xf numFmtId="38" fontId="1" fillId="5" borderId="0" xfId="0" applyNumberFormat="1" applyFont="1" applyFill="1"/>
    <xf numFmtId="38" fontId="0" fillId="5" borderId="0" xfId="0" applyNumberFormat="1" applyFill="1"/>
    <xf numFmtId="165" fontId="0" fillId="5" borderId="7" xfId="0" applyNumberFormat="1" applyFill="1" applyBorder="1" applyAlignment="1">
      <alignment horizontal="right"/>
    </xf>
    <xf numFmtId="165" fontId="0" fillId="5" borderId="3" xfId="0" applyNumberFormat="1" applyFill="1" applyBorder="1" applyAlignment="1">
      <alignment horizontal="right"/>
    </xf>
    <xf numFmtId="165" fontId="0" fillId="5" borderId="5" xfId="0" applyNumberFormat="1" applyFill="1" applyBorder="1"/>
    <xf numFmtId="38" fontId="0" fillId="5" borderId="9" xfId="0" applyNumberFormat="1" applyFill="1" applyBorder="1" applyAlignment="1">
      <alignment horizontal="center"/>
    </xf>
    <xf numFmtId="38" fontId="0" fillId="5" borderId="2" xfId="0" applyNumberFormat="1" applyFill="1" applyBorder="1"/>
    <xf numFmtId="38" fontId="5" fillId="5" borderId="4" xfId="0" applyNumberFormat="1" applyFont="1" applyFill="1" applyBorder="1" applyAlignment="1">
      <alignment horizontal="left"/>
    </xf>
    <xf numFmtId="38" fontId="5" fillId="5" borderId="5" xfId="0" applyNumberFormat="1" applyFont="1" applyFill="1" applyBorder="1" applyAlignment="1">
      <alignment horizontal="right"/>
    </xf>
    <xf numFmtId="38" fontId="5" fillId="5" borderId="3" xfId="0" applyNumberFormat="1" applyFont="1" applyFill="1" applyBorder="1" applyAlignment="1">
      <alignment horizontal="right"/>
    </xf>
    <xf numFmtId="38" fontId="0" fillId="5" borderId="14" xfId="0" applyNumberFormat="1" applyFill="1" applyBorder="1"/>
    <xf numFmtId="38" fontId="0" fillId="8" borderId="0" xfId="0" applyNumberFormat="1" applyFill="1"/>
    <xf numFmtId="38" fontId="5" fillId="0" borderId="0" xfId="0" quotePrefix="1" applyNumberFormat="1" applyFont="1"/>
    <xf numFmtId="0" fontId="5" fillId="0" borderId="0" xfId="0" applyFont="1"/>
    <xf numFmtId="0" fontId="6" fillId="0" borderId="0" xfId="0" applyFont="1"/>
    <xf numFmtId="38" fontId="5" fillId="0" borderId="4" xfId="0" applyNumberFormat="1" applyFont="1" applyBorder="1" applyAlignment="1">
      <alignment horizontal="left"/>
    </xf>
    <xf numFmtId="0" fontId="0" fillId="0" borderId="14" xfId="0" applyBorder="1"/>
    <xf numFmtId="38" fontId="5" fillId="8" borderId="0" xfId="0" applyNumberFormat="1" applyFont="1" applyFill="1"/>
    <xf numFmtId="0" fontId="5" fillId="8" borderId="0" xfId="0" applyFont="1" applyFill="1"/>
    <xf numFmtId="38" fontId="0" fillId="8" borderId="3" xfId="0" applyNumberFormat="1" applyFill="1" applyBorder="1"/>
    <xf numFmtId="38" fontId="0" fillId="8" borderId="18" xfId="0" applyNumberFormat="1" applyFill="1" applyBorder="1"/>
    <xf numFmtId="38" fontId="0" fillId="8" borderId="4" xfId="0" applyNumberFormat="1" applyFill="1" applyBorder="1" applyAlignment="1">
      <alignment horizontal="center"/>
    </xf>
    <xf numFmtId="38" fontId="0" fillId="8" borderId="12" xfId="0" applyNumberFormat="1" applyFill="1" applyBorder="1" applyAlignment="1">
      <alignment horizontal="center"/>
    </xf>
    <xf numFmtId="38" fontId="5" fillId="6" borderId="4" xfId="0" applyNumberFormat="1" applyFont="1" applyFill="1" applyBorder="1" applyAlignment="1">
      <alignment horizontal="left"/>
    </xf>
    <xf numFmtId="38" fontId="5" fillId="6" borderId="5" xfId="0" applyNumberFormat="1" applyFont="1" applyFill="1" applyBorder="1" applyAlignment="1">
      <alignment horizontal="right"/>
    </xf>
    <xf numFmtId="38" fontId="5" fillId="6" borderId="3" xfId="0" applyNumberFormat="1" applyFont="1" applyFill="1" applyBorder="1" applyAlignment="1">
      <alignment horizontal="right"/>
    </xf>
    <xf numFmtId="165" fontId="0" fillId="6" borderId="7" xfId="0" applyNumberFormat="1" applyFill="1" applyBorder="1" applyAlignment="1">
      <alignment horizontal="right"/>
    </xf>
    <xf numFmtId="165" fontId="0" fillId="6" borderId="5" xfId="0" applyNumberFormat="1" applyFill="1" applyBorder="1"/>
    <xf numFmtId="38" fontId="0" fillId="6" borderId="9" xfId="0" applyNumberFormat="1" applyFill="1" applyBorder="1" applyAlignment="1">
      <alignment horizontal="center"/>
    </xf>
    <xf numFmtId="38" fontId="0" fillId="6" borderId="14" xfId="0" applyNumberFormat="1" applyFill="1" applyBorder="1"/>
    <xf numFmtId="38" fontId="0" fillId="9" borderId="0" xfId="0" applyNumberFormat="1" applyFill="1"/>
    <xf numFmtId="38" fontId="0" fillId="9" borderId="4" xfId="0" applyNumberFormat="1" applyFill="1" applyBorder="1" applyAlignment="1">
      <alignment horizontal="center"/>
    </xf>
    <xf numFmtId="38" fontId="0" fillId="9" borderId="3" xfId="0" applyNumberFormat="1" applyFill="1" applyBorder="1"/>
    <xf numFmtId="38" fontId="0" fillId="9" borderId="12" xfId="0" applyNumberFormat="1" applyFill="1" applyBorder="1" applyAlignment="1">
      <alignment horizontal="center"/>
    </xf>
    <xf numFmtId="38" fontId="0" fillId="9" borderId="18" xfId="0" applyNumberFormat="1" applyFill="1" applyBorder="1"/>
    <xf numFmtId="38" fontId="5" fillId="5" borderId="0" xfId="0" applyNumberFormat="1" applyFont="1" applyFill="1"/>
    <xf numFmtId="165" fontId="0" fillId="0" borderId="12" xfId="0" applyNumberFormat="1" applyBorder="1" applyAlignment="1">
      <alignment horizontal="right"/>
    </xf>
    <xf numFmtId="165" fontId="0" fillId="0" borderId="17" xfId="0" applyNumberFormat="1" applyBorder="1" applyAlignment="1">
      <alignment horizontal="right"/>
    </xf>
    <xf numFmtId="38" fontId="1" fillId="9" borderId="4" xfId="0" quotePrefix="1" applyNumberFormat="1" applyFont="1" applyFill="1" applyBorder="1" applyAlignment="1">
      <alignment horizontal="left"/>
    </xf>
    <xf numFmtId="38" fontId="0" fillId="9" borderId="2" xfId="0" applyNumberFormat="1" applyFill="1" applyBorder="1" applyAlignment="1">
      <alignment horizontal="right"/>
    </xf>
    <xf numFmtId="38" fontId="0" fillId="9" borderId="3" xfId="0" applyNumberFormat="1" applyFill="1" applyBorder="1" applyAlignment="1">
      <alignment horizontal="right"/>
    </xf>
    <xf numFmtId="38" fontId="1" fillId="9" borderId="2" xfId="0" quotePrefix="1" applyNumberFormat="1" applyFont="1" applyFill="1" applyBorder="1" applyAlignment="1">
      <alignment horizontal="left"/>
    </xf>
    <xf numFmtId="38" fontId="0" fillId="9" borderId="5" xfId="0" applyNumberFormat="1" applyFill="1" applyBorder="1" applyAlignment="1">
      <alignment horizontal="right"/>
    </xf>
    <xf numFmtId="165" fontId="1" fillId="9" borderId="7" xfId="0" quotePrefix="1" applyNumberFormat="1" applyFont="1" applyFill="1" applyBorder="1"/>
    <xf numFmtId="38" fontId="0" fillId="9" borderId="11" xfId="0" applyNumberFormat="1" applyFill="1" applyBorder="1" applyAlignment="1">
      <alignment horizontal="right"/>
    </xf>
    <xf numFmtId="165" fontId="1" fillId="10" borderId="7" xfId="0" quotePrefix="1" applyNumberFormat="1" applyFont="1" applyFill="1" applyBorder="1"/>
    <xf numFmtId="165" fontId="2" fillId="0" borderId="2" xfId="0" applyNumberFormat="1" applyFont="1" applyBorder="1"/>
    <xf numFmtId="165" fontId="0" fillId="0" borderId="4" xfId="0" applyNumberFormat="1" applyBorder="1" applyAlignment="1">
      <alignment horizontal="right"/>
    </xf>
    <xf numFmtId="165" fontId="2" fillId="0" borderId="0" xfId="0" applyNumberFormat="1" applyFont="1"/>
    <xf numFmtId="38" fontId="1" fillId="9" borderId="4" xfId="0" applyNumberFormat="1" applyFont="1" applyFill="1" applyBorder="1" applyAlignment="1">
      <alignment horizontal="left"/>
    </xf>
    <xf numFmtId="38" fontId="0" fillId="0" borderId="19" xfId="0" applyNumberFormat="1" applyBorder="1" applyAlignment="1">
      <alignment horizontal="left"/>
    </xf>
    <xf numFmtId="38" fontId="0" fillId="0" borderId="14" xfId="0" applyNumberFormat="1" applyBorder="1" applyAlignment="1">
      <alignment horizontal="right"/>
    </xf>
    <xf numFmtId="38" fontId="0" fillId="0" borderId="18" xfId="0" applyNumberFormat="1" applyBorder="1" applyAlignment="1">
      <alignment horizontal="right"/>
    </xf>
    <xf numFmtId="165" fontId="0" fillId="0" borderId="12" xfId="0" applyNumberFormat="1" applyBorder="1"/>
    <xf numFmtId="165" fontId="0" fillId="0" borderId="19" xfId="0" quotePrefix="1" applyNumberFormat="1" applyBorder="1" applyAlignment="1">
      <alignment horizontal="right"/>
    </xf>
    <xf numFmtId="165" fontId="0" fillId="0" borderId="14" xfId="0" applyNumberFormat="1" applyBorder="1" applyAlignment="1">
      <alignment horizontal="right"/>
    </xf>
    <xf numFmtId="165" fontId="1" fillId="0" borderId="12" xfId="0" applyNumberFormat="1" applyFont="1" applyBorder="1" applyAlignment="1">
      <alignment horizontal="center"/>
    </xf>
    <xf numFmtId="165" fontId="1" fillId="0" borderId="14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165" fontId="0" fillId="0" borderId="18" xfId="0" applyNumberFormat="1" applyBorder="1" applyAlignment="1">
      <alignment horizontal="right"/>
    </xf>
    <xf numFmtId="38" fontId="0" fillId="0" borderId="2" xfId="0" applyNumberFormat="1" applyBorder="1" applyAlignment="1">
      <alignment horizontal="right"/>
    </xf>
    <xf numFmtId="165" fontId="0" fillId="0" borderId="4" xfId="0" applyNumberFormat="1" applyBorder="1"/>
    <xf numFmtId="165" fontId="0" fillId="0" borderId="19" xfId="0" applyNumberFormat="1" applyBorder="1" applyAlignment="1">
      <alignment horizontal="right"/>
    </xf>
    <xf numFmtId="3" fontId="0" fillId="9" borderId="4" xfId="0" quotePrefix="1" applyNumberFormat="1" applyFill="1" applyBorder="1" applyAlignment="1">
      <alignment horizontal="left"/>
    </xf>
    <xf numFmtId="3" fontId="0" fillId="9" borderId="2" xfId="0" applyNumberFormat="1" applyFill="1" applyBorder="1"/>
    <xf numFmtId="3" fontId="0" fillId="9" borderId="3" xfId="0" applyNumberFormat="1" applyFill="1" applyBorder="1"/>
    <xf numFmtId="3" fontId="1" fillId="9" borderId="4" xfId="0" quotePrefix="1" applyNumberFormat="1" applyFont="1" applyFill="1" applyBorder="1" applyAlignment="1">
      <alignment horizontal="left"/>
    </xf>
    <xf numFmtId="3" fontId="1" fillId="9" borderId="4" xfId="0" applyNumberFormat="1" applyFont="1" applyFill="1" applyBorder="1" applyAlignment="1">
      <alignment horizontal="left"/>
    </xf>
    <xf numFmtId="3" fontId="1" fillId="9" borderId="7" xfId="0" applyNumberFormat="1" applyFont="1" applyFill="1" applyBorder="1" applyAlignment="1">
      <alignment horizontal="left"/>
    </xf>
    <xf numFmtId="38" fontId="0" fillId="9" borderId="5" xfId="0" applyNumberFormat="1" applyFill="1" applyBorder="1"/>
    <xf numFmtId="38" fontId="0" fillId="9" borderId="11" xfId="0" applyNumberFormat="1" applyFill="1" applyBorder="1"/>
    <xf numFmtId="38" fontId="1" fillId="11" borderId="4" xfId="0" quotePrefix="1" applyNumberFormat="1" applyFont="1" applyFill="1" applyBorder="1" applyAlignment="1">
      <alignment horizontal="left"/>
    </xf>
    <xf numFmtId="38" fontId="0" fillId="11" borderId="5" xfId="0" applyNumberFormat="1" applyFill="1" applyBorder="1" applyAlignment="1">
      <alignment horizontal="right"/>
    </xf>
    <xf numFmtId="38" fontId="0" fillId="11" borderId="3" xfId="0" applyNumberFormat="1" applyFill="1" applyBorder="1" applyAlignment="1">
      <alignment horizontal="right"/>
    </xf>
    <xf numFmtId="165" fontId="1" fillId="11" borderId="7" xfId="0" quotePrefix="1" applyNumberFormat="1" applyFont="1" applyFill="1" applyBorder="1"/>
    <xf numFmtId="165" fontId="0" fillId="11" borderId="5" xfId="0" applyNumberFormat="1" applyFill="1" applyBorder="1"/>
    <xf numFmtId="165" fontId="0" fillId="11" borderId="3" xfId="0" applyNumberFormat="1" applyFill="1" applyBorder="1" applyAlignment="1">
      <alignment horizontal="right"/>
    </xf>
    <xf numFmtId="3" fontId="0" fillId="11" borderId="7" xfId="0" applyNumberFormat="1" applyFill="1" applyBorder="1" applyAlignment="1">
      <alignment horizontal="left"/>
    </xf>
    <xf numFmtId="3" fontId="0" fillId="11" borderId="5" xfId="0" applyNumberFormat="1" applyFill="1" applyBorder="1"/>
    <xf numFmtId="3" fontId="0" fillId="11" borderId="11" xfId="0" applyNumberFormat="1" applyFill="1" applyBorder="1"/>
    <xf numFmtId="3" fontId="0" fillId="9" borderId="4" xfId="0" applyNumberFormat="1" applyFill="1" applyBorder="1" applyAlignment="1">
      <alignment horizontal="left"/>
    </xf>
    <xf numFmtId="165" fontId="2" fillId="4" borderId="7" xfId="0" quotePrefix="1" applyNumberFormat="1" applyFont="1" applyFill="1" applyBorder="1"/>
    <xf numFmtId="165" fontId="2" fillId="4" borderId="5" xfId="0" applyNumberFormat="1" applyFont="1" applyFill="1" applyBorder="1"/>
    <xf numFmtId="165" fontId="2" fillId="4" borderId="3" xfId="0" applyNumberFormat="1" applyFont="1" applyFill="1" applyBorder="1" applyAlignment="1">
      <alignment horizontal="right"/>
    </xf>
    <xf numFmtId="38" fontId="0" fillId="10" borderId="5" xfId="0" applyNumberFormat="1" applyFill="1" applyBorder="1" applyAlignment="1">
      <alignment horizontal="right"/>
    </xf>
    <xf numFmtId="38" fontId="0" fillId="0" borderId="7" xfId="0" applyNumberFormat="1" applyBorder="1" applyAlignment="1">
      <alignment horizontal="right"/>
    </xf>
    <xf numFmtId="38" fontId="1" fillId="0" borderId="7" xfId="0" applyNumberFormat="1" applyFont="1" applyBorder="1" applyAlignment="1">
      <alignment horizontal="left"/>
    </xf>
    <xf numFmtId="38" fontId="0" fillId="0" borderId="7" xfId="0" applyNumberFormat="1" applyBorder="1" applyAlignment="1">
      <alignment horizontal="left"/>
    </xf>
    <xf numFmtId="38" fontId="0" fillId="0" borderId="7" xfId="0" quotePrefix="1" applyNumberFormat="1" applyBorder="1" applyAlignment="1">
      <alignment horizontal="left"/>
    </xf>
    <xf numFmtId="0" fontId="1" fillId="12" borderId="0" xfId="0" applyFont="1" applyFill="1" applyAlignment="1">
      <alignment horizontal="left"/>
    </xf>
    <xf numFmtId="40" fontId="0" fillId="12" borderId="0" xfId="0" applyNumberFormat="1" applyFill="1"/>
    <xf numFmtId="0" fontId="0" fillId="12" borderId="0" xfId="0" applyFill="1" applyAlignment="1">
      <alignment horizontal="left"/>
    </xf>
    <xf numFmtId="0" fontId="0" fillId="12" borderId="0" xfId="0" applyFill="1"/>
    <xf numFmtId="165" fontId="0" fillId="12" borderId="0" xfId="0" applyNumberFormat="1" applyFill="1"/>
    <xf numFmtId="40" fontId="1" fillId="0" borderId="0" xfId="1" quotePrefix="1" applyNumberFormat="1" applyFont="1" applyFill="1" applyBorder="1" applyAlignment="1">
      <alignment horizontal="right"/>
    </xf>
    <xf numFmtId="38" fontId="5" fillId="0" borderId="0" xfId="0" applyNumberFormat="1" applyFont="1"/>
    <xf numFmtId="38" fontId="5" fillId="0" borderId="5" xfId="0" applyNumberFormat="1" applyFont="1" applyBorder="1" applyAlignment="1">
      <alignment horizontal="right"/>
    </xf>
    <xf numFmtId="38" fontId="5" fillId="0" borderId="3" xfId="0" applyNumberFormat="1" applyFont="1" applyBorder="1" applyAlignment="1">
      <alignment horizontal="right"/>
    </xf>
    <xf numFmtId="40" fontId="0" fillId="8" borderId="0" xfId="0" applyNumberFormat="1" applyFill="1"/>
    <xf numFmtId="38" fontId="0" fillId="2" borderId="0" xfId="0" applyNumberFormat="1" applyFill="1" applyAlignment="1">
      <alignment horizontal="right"/>
    </xf>
    <xf numFmtId="38" fontId="0" fillId="2" borderId="0" xfId="0" applyNumberFormat="1" applyFill="1" applyAlignment="1">
      <alignment horizontal="center"/>
    </xf>
    <xf numFmtId="38" fontId="0" fillId="11" borderId="0" xfId="0" applyNumberFormat="1" applyFill="1" applyAlignment="1">
      <alignment horizontal="right"/>
    </xf>
    <xf numFmtId="165" fontId="0" fillId="11" borderId="0" xfId="0" applyNumberFormat="1" applyFill="1" applyAlignment="1">
      <alignment horizontal="right"/>
    </xf>
    <xf numFmtId="38" fontId="0" fillId="4" borderId="0" xfId="0" applyNumberFormat="1" applyFill="1" applyAlignment="1">
      <alignment horizontal="right"/>
    </xf>
    <xf numFmtId="165" fontId="2" fillId="4" borderId="0" xfId="0" applyNumberFormat="1" applyFont="1" applyFill="1" applyAlignment="1">
      <alignment horizontal="right"/>
    </xf>
    <xf numFmtId="3" fontId="0" fillId="4" borderId="0" xfId="0" applyNumberFormat="1" applyFill="1"/>
    <xf numFmtId="3" fontId="0" fillId="4" borderId="17" xfId="0" applyNumberFormat="1" applyFill="1" applyBorder="1"/>
    <xf numFmtId="38" fontId="0" fillId="9" borderId="0" xfId="0" applyNumberFormat="1" applyFill="1" applyAlignment="1">
      <alignment horizontal="right"/>
    </xf>
    <xf numFmtId="165" fontId="2" fillId="9" borderId="0" xfId="0" quotePrefix="1" applyNumberFormat="1" applyFont="1" applyFill="1" applyAlignment="1">
      <alignment horizontal="center"/>
    </xf>
    <xf numFmtId="38" fontId="1" fillId="9" borderId="0" xfId="0" applyNumberFormat="1" applyFont="1" applyFill="1" applyAlignment="1">
      <alignment horizontal="center"/>
    </xf>
    <xf numFmtId="165" fontId="2" fillId="0" borderId="0" xfId="0" quotePrefix="1" applyNumberFormat="1" applyFont="1" applyAlignment="1">
      <alignment horizontal="center"/>
    </xf>
    <xf numFmtId="9" fontId="0" fillId="0" borderId="0" xfId="2" applyFont="1"/>
    <xf numFmtId="9" fontId="0" fillId="0" borderId="0" xfId="2" applyFont="1" applyAlignment="1">
      <alignment horizontal="right"/>
    </xf>
    <xf numFmtId="38" fontId="1" fillId="0" borderId="0" xfId="0" applyNumberFormat="1" applyFont="1" applyAlignment="1">
      <alignment horizontal="right"/>
    </xf>
    <xf numFmtId="165" fontId="0" fillId="4" borderId="5" xfId="0" applyNumberFormat="1" applyFill="1" applyBorder="1"/>
    <xf numFmtId="38" fontId="0" fillId="3" borderId="0" xfId="0" applyNumberFormat="1" applyFill="1"/>
    <xf numFmtId="165" fontId="9" fillId="0" borderId="0" xfId="0" applyNumberFormat="1" applyFont="1"/>
    <xf numFmtId="165" fontId="9" fillId="0" borderId="5" xfId="0" applyNumberFormat="1" applyFont="1" applyBorder="1"/>
    <xf numFmtId="165" fontId="1" fillId="0" borderId="4" xfId="0" applyNumberFormat="1" applyFont="1" applyBorder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165" fontId="1" fillId="0" borderId="3" xfId="0" applyNumberFormat="1" applyFont="1" applyBorder="1" applyAlignment="1">
      <alignment horizontal="center"/>
    </xf>
    <xf numFmtId="38" fontId="1" fillId="9" borderId="7" xfId="0" applyNumberFormat="1" applyFont="1" applyFill="1" applyBorder="1" applyAlignment="1">
      <alignment horizontal="center"/>
    </xf>
    <xf numFmtId="38" fontId="1" fillId="9" borderId="5" xfId="0" applyNumberFormat="1" applyFont="1" applyFill="1" applyBorder="1" applyAlignment="1">
      <alignment horizontal="center"/>
    </xf>
    <xf numFmtId="38" fontId="1" fillId="9" borderId="11" xfId="0" applyNumberFormat="1" applyFont="1" applyFill="1" applyBorder="1" applyAlignment="1">
      <alignment horizontal="center"/>
    </xf>
    <xf numFmtId="165" fontId="2" fillId="0" borderId="7" xfId="0" quotePrefix="1" applyNumberFormat="1" applyFont="1" applyBorder="1" applyAlignment="1">
      <alignment horizontal="center"/>
    </xf>
    <xf numFmtId="165" fontId="2" fillId="0" borderId="5" xfId="0" quotePrefix="1" applyNumberFormat="1" applyFont="1" applyBorder="1" applyAlignment="1">
      <alignment horizontal="center"/>
    </xf>
    <xf numFmtId="165" fontId="2" fillId="0" borderId="11" xfId="0" quotePrefix="1" applyNumberFormat="1" applyFont="1" applyBorder="1" applyAlignment="1">
      <alignment horizontal="center"/>
    </xf>
    <xf numFmtId="165" fontId="2" fillId="9" borderId="7" xfId="0" quotePrefix="1" applyNumberFormat="1" applyFont="1" applyFill="1" applyBorder="1" applyAlignment="1">
      <alignment horizontal="center"/>
    </xf>
    <xf numFmtId="165" fontId="2" fillId="9" borderId="5" xfId="0" quotePrefix="1" applyNumberFormat="1" applyFont="1" applyFill="1" applyBorder="1" applyAlignment="1">
      <alignment horizontal="center"/>
    </xf>
    <xf numFmtId="165" fontId="2" fillId="9" borderId="11" xfId="0" quotePrefix="1" applyNumberFormat="1" applyFont="1" applyFill="1" applyBorder="1" applyAlignment="1">
      <alignment horizontal="center"/>
    </xf>
    <xf numFmtId="38" fontId="0" fillId="2" borderId="5" xfId="0" applyNumberFormat="1" applyFill="1" applyBorder="1" applyAlignment="1">
      <alignment horizontal="center"/>
    </xf>
    <xf numFmtId="38" fontId="0" fillId="2" borderId="11" xfId="0" applyNumberFormat="1" applyFill="1" applyBorder="1" applyAlignment="1">
      <alignment horizontal="center"/>
    </xf>
    <xf numFmtId="3" fontId="1" fillId="9" borderId="7" xfId="0" applyNumberFormat="1" applyFont="1" applyFill="1" applyBorder="1" applyAlignment="1">
      <alignment horizontal="center"/>
    </xf>
    <xf numFmtId="3" fontId="1" fillId="9" borderId="5" xfId="0" applyNumberFormat="1" applyFont="1" applyFill="1" applyBorder="1" applyAlignment="1">
      <alignment horizontal="center"/>
    </xf>
    <xf numFmtId="3" fontId="1" fillId="9" borderId="11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FinAff\GCL\Reconcile\FY2023\Bond2021A%20-%2008-2022.xlsx" TargetMode="External"/><Relationship Id="rId1" Type="http://schemas.openxmlformats.org/officeDocument/2006/relationships/externalLinkPath" Target="/FinAff/GCL/Reconcile/FY2023/Bond2021A%20-%2008-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ummary 2021A"/>
      <sheetName val="UMCP"/>
      <sheetName val="UMB"/>
      <sheetName val="UMBI"/>
      <sheetName val="UMES"/>
      <sheetName val="UMBC"/>
      <sheetName val="UMBC-UMBI"/>
      <sheetName val="UMCES"/>
      <sheetName val="BSU"/>
      <sheetName val="CSU"/>
      <sheetName val="FSU"/>
      <sheetName val="SU"/>
      <sheetName val="TU"/>
      <sheetName val="UB"/>
      <sheetName val="USM &amp; COI"/>
      <sheetName val="Emergency Funds"/>
      <sheetName val="ck"/>
      <sheetName val="Sheet1"/>
      <sheetName val="Sheet2"/>
    </sheetNames>
    <sheetDataSet>
      <sheetData sheetId="0">
        <row r="789">
          <cell r="C789">
            <v>23573339.599999994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ABA52-B3A0-4388-98D8-664F7BF57530}">
  <sheetPr>
    <tabColor theme="6" tint="0.39997558519241921"/>
  </sheetPr>
  <dimension ref="A1:EI595"/>
  <sheetViews>
    <sheetView tabSelected="1" zoomScale="93" zoomScaleNormal="93" workbookViewId="0">
      <pane xSplit="2" ySplit="9" topLeftCell="AI10" activePane="bottomRight" state="frozen"/>
      <selection pane="topRight" activeCell="C1" sqref="C1"/>
      <selection pane="bottomLeft" activeCell="A10" sqref="A10"/>
      <selection pane="bottomRight" activeCell="A10" sqref="A10:XFD11"/>
    </sheetView>
  </sheetViews>
  <sheetFormatPr defaultColWidth="13.7109375" defaultRowHeight="12.75" x14ac:dyDescent="0.2"/>
  <cols>
    <col min="1" max="1" width="9.7109375" style="28" customWidth="1"/>
    <col min="2" max="2" width="3.7109375" customWidth="1"/>
    <col min="3" max="8" width="13.7109375" style="3"/>
    <col min="9" max="18" width="13.7109375" style="3" customWidth="1"/>
    <col min="19" max="19" width="3.7109375" style="5" customWidth="1"/>
    <col min="20" max="23" width="13.7109375" style="5" customWidth="1"/>
    <col min="24" max="24" width="5.140625" style="5" hidden="1" customWidth="1"/>
    <col min="25" max="28" width="13.7109375" style="5" hidden="1" customWidth="1"/>
    <col min="29" max="29" width="3.7109375" style="5" customWidth="1"/>
    <col min="30" max="33" width="13.7109375" customWidth="1"/>
    <col min="34" max="34" width="3.7109375" style="5" customWidth="1"/>
    <col min="35" max="38" width="13.7109375" style="5" customWidth="1"/>
    <col min="39" max="39" width="3.7109375" style="5" customWidth="1"/>
    <col min="40" max="43" width="13.7109375" style="5"/>
    <col min="44" max="44" width="3.7109375" style="5" customWidth="1"/>
    <col min="49" max="49" width="4" style="5" customWidth="1"/>
    <col min="50" max="53" width="13.7109375" style="5" customWidth="1"/>
    <col min="54" max="54" width="4" style="5" customWidth="1"/>
    <col min="55" max="55" width="13.7109375" style="5" customWidth="1"/>
    <col min="56" max="56" width="13.140625" style="5" customWidth="1"/>
    <col min="57" max="58" width="13.28515625" style="5" customWidth="1"/>
    <col min="59" max="59" width="4" style="5" customWidth="1"/>
    <col min="60" max="60" width="13.7109375" style="5" customWidth="1"/>
    <col min="61" max="61" width="12.7109375" style="5" customWidth="1"/>
    <col min="62" max="63" width="13.7109375" style="5" customWidth="1"/>
    <col min="64" max="64" width="3.7109375" style="5" customWidth="1"/>
    <col min="69" max="69" width="3.7109375" style="5" customWidth="1"/>
    <col min="72" max="73" width="14.85546875" customWidth="1"/>
    <col min="74" max="74" width="3.7109375" style="5" customWidth="1"/>
    <col min="75" max="78" width="13.7109375" style="5" customWidth="1"/>
    <col min="79" max="79" width="3.42578125" style="5" customWidth="1"/>
    <col min="80" max="83" width="13.7109375" style="5"/>
    <col min="84" max="84" width="3.7109375" style="5" customWidth="1"/>
    <col min="85" max="88" width="13.7109375" style="5"/>
    <col min="89" max="89" width="3.7109375" style="5" customWidth="1"/>
    <col min="90" max="93" width="13.7109375" style="5"/>
    <col min="94" max="94" width="3.7109375" style="5" customWidth="1"/>
    <col min="95" max="98" width="13.7109375" style="5"/>
    <col min="99" max="99" width="3.7109375" style="5" customWidth="1"/>
    <col min="100" max="103" width="13.7109375" style="5"/>
    <col min="104" max="104" width="3.7109375" style="5" customWidth="1"/>
    <col min="105" max="108" width="13.7109375" style="5"/>
    <col min="109" max="109" width="3.7109375" style="5" customWidth="1"/>
    <col min="110" max="113" width="13.7109375" style="5"/>
    <col min="114" max="114" width="3.7109375" style="5" customWidth="1"/>
    <col min="115" max="118" width="13.7109375" style="5"/>
    <col min="119" max="119" width="3.7109375" style="5" customWidth="1"/>
    <col min="120" max="123" width="13.7109375" style="5"/>
    <col min="124" max="124" width="3.7109375" style="5" customWidth="1"/>
    <col min="125" max="128" width="13.7109375" style="5"/>
    <col min="129" max="129" width="3.7109375" style="5" customWidth="1"/>
    <col min="130" max="133" width="0" style="5" hidden="1" customWidth="1"/>
    <col min="297" max="297" width="9.7109375" customWidth="1"/>
    <col min="298" max="298" width="3.7109375" customWidth="1"/>
    <col min="310" max="310" width="3.7109375" customWidth="1"/>
    <col min="314" max="314" width="3.7109375" customWidth="1"/>
    <col min="318" max="318" width="3.7109375" customWidth="1"/>
    <col min="322" max="322" width="3.7109375" customWidth="1"/>
    <col min="326" max="326" width="3.7109375" customWidth="1"/>
    <col min="330" max="330" width="3.7109375" customWidth="1"/>
    <col min="334" max="334" width="3.7109375" customWidth="1"/>
    <col min="338" max="338" width="3.7109375" customWidth="1"/>
    <col min="342" max="342" width="3.7109375" customWidth="1"/>
    <col min="346" max="346" width="3.7109375" customWidth="1"/>
    <col min="350" max="350" width="3.7109375" customWidth="1"/>
    <col min="354" max="354" width="3.7109375" customWidth="1"/>
    <col min="358" max="358" width="3.7109375" customWidth="1"/>
    <col min="362" max="362" width="3.7109375" customWidth="1"/>
    <col min="366" max="366" width="3.7109375" customWidth="1"/>
    <col min="370" max="370" width="3.7109375" customWidth="1"/>
    <col min="374" max="374" width="3.7109375" customWidth="1"/>
    <col min="378" max="378" width="3.7109375" customWidth="1"/>
    <col min="382" max="382" width="3.7109375" customWidth="1"/>
    <col min="386" max="386" width="3.7109375" customWidth="1"/>
    <col min="553" max="553" width="9.7109375" customWidth="1"/>
    <col min="554" max="554" width="3.7109375" customWidth="1"/>
    <col min="566" max="566" width="3.7109375" customWidth="1"/>
    <col min="570" max="570" width="3.7109375" customWidth="1"/>
    <col min="574" max="574" width="3.7109375" customWidth="1"/>
    <col min="578" max="578" width="3.7109375" customWidth="1"/>
    <col min="582" max="582" width="3.7109375" customWidth="1"/>
    <col min="586" max="586" width="3.7109375" customWidth="1"/>
    <col min="590" max="590" width="3.7109375" customWidth="1"/>
    <col min="594" max="594" width="3.7109375" customWidth="1"/>
    <col min="598" max="598" width="3.7109375" customWidth="1"/>
    <col min="602" max="602" width="3.7109375" customWidth="1"/>
    <col min="606" max="606" width="3.7109375" customWidth="1"/>
    <col min="610" max="610" width="3.7109375" customWidth="1"/>
    <col min="614" max="614" width="3.7109375" customWidth="1"/>
    <col min="618" max="618" width="3.7109375" customWidth="1"/>
    <col min="622" max="622" width="3.7109375" customWidth="1"/>
    <col min="626" max="626" width="3.7109375" customWidth="1"/>
    <col min="630" max="630" width="3.7109375" customWidth="1"/>
    <col min="634" max="634" width="3.7109375" customWidth="1"/>
    <col min="638" max="638" width="3.7109375" customWidth="1"/>
    <col min="642" max="642" width="3.7109375" customWidth="1"/>
    <col min="809" max="809" width="9.7109375" customWidth="1"/>
    <col min="810" max="810" width="3.7109375" customWidth="1"/>
    <col min="822" max="822" width="3.7109375" customWidth="1"/>
    <col min="826" max="826" width="3.7109375" customWidth="1"/>
    <col min="830" max="830" width="3.7109375" customWidth="1"/>
    <col min="834" max="834" width="3.7109375" customWidth="1"/>
    <col min="838" max="838" width="3.7109375" customWidth="1"/>
    <col min="842" max="842" width="3.7109375" customWidth="1"/>
    <col min="846" max="846" width="3.7109375" customWidth="1"/>
    <col min="850" max="850" width="3.7109375" customWidth="1"/>
    <col min="854" max="854" width="3.7109375" customWidth="1"/>
    <col min="858" max="858" width="3.7109375" customWidth="1"/>
    <col min="862" max="862" width="3.7109375" customWidth="1"/>
    <col min="866" max="866" width="3.7109375" customWidth="1"/>
    <col min="870" max="870" width="3.7109375" customWidth="1"/>
    <col min="874" max="874" width="3.7109375" customWidth="1"/>
    <col min="878" max="878" width="3.7109375" customWidth="1"/>
    <col min="882" max="882" width="3.7109375" customWidth="1"/>
    <col min="886" max="886" width="3.7109375" customWidth="1"/>
    <col min="890" max="890" width="3.7109375" customWidth="1"/>
    <col min="894" max="894" width="3.7109375" customWidth="1"/>
    <col min="898" max="898" width="3.7109375" customWidth="1"/>
    <col min="1065" max="1065" width="9.7109375" customWidth="1"/>
    <col min="1066" max="1066" width="3.7109375" customWidth="1"/>
    <col min="1078" max="1078" width="3.7109375" customWidth="1"/>
    <col min="1082" max="1082" width="3.7109375" customWidth="1"/>
    <col min="1086" max="1086" width="3.7109375" customWidth="1"/>
    <col min="1090" max="1090" width="3.7109375" customWidth="1"/>
    <col min="1094" max="1094" width="3.7109375" customWidth="1"/>
    <col min="1098" max="1098" width="3.7109375" customWidth="1"/>
    <col min="1102" max="1102" width="3.7109375" customWidth="1"/>
    <col min="1106" max="1106" width="3.7109375" customWidth="1"/>
    <col min="1110" max="1110" width="3.7109375" customWidth="1"/>
    <col min="1114" max="1114" width="3.7109375" customWidth="1"/>
    <col min="1118" max="1118" width="3.7109375" customWidth="1"/>
    <col min="1122" max="1122" width="3.7109375" customWidth="1"/>
    <col min="1126" max="1126" width="3.7109375" customWidth="1"/>
    <col min="1130" max="1130" width="3.7109375" customWidth="1"/>
    <col min="1134" max="1134" width="3.7109375" customWidth="1"/>
    <col min="1138" max="1138" width="3.7109375" customWidth="1"/>
    <col min="1142" max="1142" width="3.7109375" customWidth="1"/>
    <col min="1146" max="1146" width="3.7109375" customWidth="1"/>
    <col min="1150" max="1150" width="3.7109375" customWidth="1"/>
    <col min="1154" max="1154" width="3.7109375" customWidth="1"/>
    <col min="1321" max="1321" width="9.7109375" customWidth="1"/>
    <col min="1322" max="1322" width="3.7109375" customWidth="1"/>
    <col min="1334" max="1334" width="3.7109375" customWidth="1"/>
    <col min="1338" max="1338" width="3.7109375" customWidth="1"/>
    <col min="1342" max="1342" width="3.7109375" customWidth="1"/>
    <col min="1346" max="1346" width="3.7109375" customWidth="1"/>
    <col min="1350" max="1350" width="3.7109375" customWidth="1"/>
    <col min="1354" max="1354" width="3.7109375" customWidth="1"/>
    <col min="1358" max="1358" width="3.7109375" customWidth="1"/>
    <col min="1362" max="1362" width="3.7109375" customWidth="1"/>
    <col min="1366" max="1366" width="3.7109375" customWidth="1"/>
    <col min="1370" max="1370" width="3.7109375" customWidth="1"/>
    <col min="1374" max="1374" width="3.7109375" customWidth="1"/>
    <col min="1378" max="1378" width="3.7109375" customWidth="1"/>
    <col min="1382" max="1382" width="3.7109375" customWidth="1"/>
    <col min="1386" max="1386" width="3.7109375" customWidth="1"/>
    <col min="1390" max="1390" width="3.7109375" customWidth="1"/>
    <col min="1394" max="1394" width="3.7109375" customWidth="1"/>
    <col min="1398" max="1398" width="3.7109375" customWidth="1"/>
    <col min="1402" max="1402" width="3.7109375" customWidth="1"/>
    <col min="1406" max="1406" width="3.7109375" customWidth="1"/>
    <col min="1410" max="1410" width="3.7109375" customWidth="1"/>
    <col min="1577" max="1577" width="9.7109375" customWidth="1"/>
    <col min="1578" max="1578" width="3.7109375" customWidth="1"/>
    <col min="1590" max="1590" width="3.7109375" customWidth="1"/>
    <col min="1594" max="1594" width="3.7109375" customWidth="1"/>
    <col min="1598" max="1598" width="3.7109375" customWidth="1"/>
    <col min="1602" max="1602" width="3.7109375" customWidth="1"/>
    <col min="1606" max="1606" width="3.7109375" customWidth="1"/>
    <col min="1610" max="1610" width="3.7109375" customWidth="1"/>
    <col min="1614" max="1614" width="3.7109375" customWidth="1"/>
    <col min="1618" max="1618" width="3.7109375" customWidth="1"/>
    <col min="1622" max="1622" width="3.7109375" customWidth="1"/>
    <col min="1626" max="1626" width="3.7109375" customWidth="1"/>
    <col min="1630" max="1630" width="3.7109375" customWidth="1"/>
    <col min="1634" max="1634" width="3.7109375" customWidth="1"/>
    <col min="1638" max="1638" width="3.7109375" customWidth="1"/>
    <col min="1642" max="1642" width="3.7109375" customWidth="1"/>
    <col min="1646" max="1646" width="3.7109375" customWidth="1"/>
    <col min="1650" max="1650" width="3.7109375" customWidth="1"/>
    <col min="1654" max="1654" width="3.7109375" customWidth="1"/>
    <col min="1658" max="1658" width="3.7109375" customWidth="1"/>
    <col min="1662" max="1662" width="3.7109375" customWidth="1"/>
    <col min="1666" max="1666" width="3.7109375" customWidth="1"/>
    <col min="1833" max="1833" width="9.7109375" customWidth="1"/>
    <col min="1834" max="1834" width="3.7109375" customWidth="1"/>
    <col min="1846" max="1846" width="3.7109375" customWidth="1"/>
    <col min="1850" max="1850" width="3.7109375" customWidth="1"/>
    <col min="1854" max="1854" width="3.7109375" customWidth="1"/>
    <col min="1858" max="1858" width="3.7109375" customWidth="1"/>
    <col min="1862" max="1862" width="3.7109375" customWidth="1"/>
    <col min="1866" max="1866" width="3.7109375" customWidth="1"/>
    <col min="1870" max="1870" width="3.7109375" customWidth="1"/>
    <col min="1874" max="1874" width="3.7109375" customWidth="1"/>
    <col min="1878" max="1878" width="3.7109375" customWidth="1"/>
    <col min="1882" max="1882" width="3.7109375" customWidth="1"/>
    <col min="1886" max="1886" width="3.7109375" customWidth="1"/>
    <col min="1890" max="1890" width="3.7109375" customWidth="1"/>
    <col min="1894" max="1894" width="3.7109375" customWidth="1"/>
    <col min="1898" max="1898" width="3.7109375" customWidth="1"/>
    <col min="1902" max="1902" width="3.7109375" customWidth="1"/>
    <col min="1906" max="1906" width="3.7109375" customWidth="1"/>
    <col min="1910" max="1910" width="3.7109375" customWidth="1"/>
    <col min="1914" max="1914" width="3.7109375" customWidth="1"/>
    <col min="1918" max="1918" width="3.7109375" customWidth="1"/>
    <col min="1922" max="1922" width="3.7109375" customWidth="1"/>
    <col min="2089" max="2089" width="9.7109375" customWidth="1"/>
    <col min="2090" max="2090" width="3.7109375" customWidth="1"/>
    <col min="2102" max="2102" width="3.7109375" customWidth="1"/>
    <col min="2106" max="2106" width="3.7109375" customWidth="1"/>
    <col min="2110" max="2110" width="3.7109375" customWidth="1"/>
    <col min="2114" max="2114" width="3.7109375" customWidth="1"/>
    <col min="2118" max="2118" width="3.7109375" customWidth="1"/>
    <col min="2122" max="2122" width="3.7109375" customWidth="1"/>
    <col min="2126" max="2126" width="3.7109375" customWidth="1"/>
    <col min="2130" max="2130" width="3.7109375" customWidth="1"/>
    <col min="2134" max="2134" width="3.7109375" customWidth="1"/>
    <col min="2138" max="2138" width="3.7109375" customWidth="1"/>
    <col min="2142" max="2142" width="3.7109375" customWidth="1"/>
    <col min="2146" max="2146" width="3.7109375" customWidth="1"/>
    <col min="2150" max="2150" width="3.7109375" customWidth="1"/>
    <col min="2154" max="2154" width="3.7109375" customWidth="1"/>
    <col min="2158" max="2158" width="3.7109375" customWidth="1"/>
    <col min="2162" max="2162" width="3.7109375" customWidth="1"/>
    <col min="2166" max="2166" width="3.7109375" customWidth="1"/>
    <col min="2170" max="2170" width="3.7109375" customWidth="1"/>
    <col min="2174" max="2174" width="3.7109375" customWidth="1"/>
    <col min="2178" max="2178" width="3.7109375" customWidth="1"/>
    <col min="2345" max="2345" width="9.7109375" customWidth="1"/>
    <col min="2346" max="2346" width="3.7109375" customWidth="1"/>
    <col min="2358" max="2358" width="3.7109375" customWidth="1"/>
    <col min="2362" max="2362" width="3.7109375" customWidth="1"/>
    <col min="2366" max="2366" width="3.7109375" customWidth="1"/>
    <col min="2370" max="2370" width="3.7109375" customWidth="1"/>
    <col min="2374" max="2374" width="3.7109375" customWidth="1"/>
    <col min="2378" max="2378" width="3.7109375" customWidth="1"/>
    <col min="2382" max="2382" width="3.7109375" customWidth="1"/>
    <col min="2386" max="2386" width="3.7109375" customWidth="1"/>
    <col min="2390" max="2390" width="3.7109375" customWidth="1"/>
    <col min="2394" max="2394" width="3.7109375" customWidth="1"/>
    <col min="2398" max="2398" width="3.7109375" customWidth="1"/>
    <col min="2402" max="2402" width="3.7109375" customWidth="1"/>
    <col min="2406" max="2406" width="3.7109375" customWidth="1"/>
    <col min="2410" max="2410" width="3.7109375" customWidth="1"/>
    <col min="2414" max="2414" width="3.7109375" customWidth="1"/>
    <col min="2418" max="2418" width="3.7109375" customWidth="1"/>
    <col min="2422" max="2422" width="3.7109375" customWidth="1"/>
    <col min="2426" max="2426" width="3.7109375" customWidth="1"/>
    <col min="2430" max="2430" width="3.7109375" customWidth="1"/>
    <col min="2434" max="2434" width="3.7109375" customWidth="1"/>
    <col min="2601" max="2601" width="9.7109375" customWidth="1"/>
    <col min="2602" max="2602" width="3.7109375" customWidth="1"/>
    <col min="2614" max="2614" width="3.7109375" customWidth="1"/>
    <col min="2618" max="2618" width="3.7109375" customWidth="1"/>
    <col min="2622" max="2622" width="3.7109375" customWidth="1"/>
    <col min="2626" max="2626" width="3.7109375" customWidth="1"/>
    <col min="2630" max="2630" width="3.7109375" customWidth="1"/>
    <col min="2634" max="2634" width="3.7109375" customWidth="1"/>
    <col min="2638" max="2638" width="3.7109375" customWidth="1"/>
    <col min="2642" max="2642" width="3.7109375" customWidth="1"/>
    <col min="2646" max="2646" width="3.7109375" customWidth="1"/>
    <col min="2650" max="2650" width="3.7109375" customWidth="1"/>
    <col min="2654" max="2654" width="3.7109375" customWidth="1"/>
    <col min="2658" max="2658" width="3.7109375" customWidth="1"/>
    <col min="2662" max="2662" width="3.7109375" customWidth="1"/>
    <col min="2666" max="2666" width="3.7109375" customWidth="1"/>
    <col min="2670" max="2670" width="3.7109375" customWidth="1"/>
    <col min="2674" max="2674" width="3.7109375" customWidth="1"/>
    <col min="2678" max="2678" width="3.7109375" customWidth="1"/>
    <col min="2682" max="2682" width="3.7109375" customWidth="1"/>
    <col min="2686" max="2686" width="3.7109375" customWidth="1"/>
    <col min="2690" max="2690" width="3.7109375" customWidth="1"/>
    <col min="2857" max="2857" width="9.7109375" customWidth="1"/>
    <col min="2858" max="2858" width="3.7109375" customWidth="1"/>
    <col min="2870" max="2870" width="3.7109375" customWidth="1"/>
    <col min="2874" max="2874" width="3.7109375" customWidth="1"/>
    <col min="2878" max="2878" width="3.7109375" customWidth="1"/>
    <col min="2882" max="2882" width="3.7109375" customWidth="1"/>
    <col min="2886" max="2886" width="3.7109375" customWidth="1"/>
    <col min="2890" max="2890" width="3.7109375" customWidth="1"/>
    <col min="2894" max="2894" width="3.7109375" customWidth="1"/>
    <col min="2898" max="2898" width="3.7109375" customWidth="1"/>
    <col min="2902" max="2902" width="3.7109375" customWidth="1"/>
    <col min="2906" max="2906" width="3.7109375" customWidth="1"/>
    <col min="2910" max="2910" width="3.7109375" customWidth="1"/>
    <col min="2914" max="2914" width="3.7109375" customWidth="1"/>
    <col min="2918" max="2918" width="3.7109375" customWidth="1"/>
    <col min="2922" max="2922" width="3.7109375" customWidth="1"/>
    <col min="2926" max="2926" width="3.7109375" customWidth="1"/>
    <col min="2930" max="2930" width="3.7109375" customWidth="1"/>
    <col min="2934" max="2934" width="3.7109375" customWidth="1"/>
    <col min="2938" max="2938" width="3.7109375" customWidth="1"/>
    <col min="2942" max="2942" width="3.7109375" customWidth="1"/>
    <col min="2946" max="2946" width="3.7109375" customWidth="1"/>
    <col min="3113" max="3113" width="9.7109375" customWidth="1"/>
    <col min="3114" max="3114" width="3.7109375" customWidth="1"/>
    <col min="3126" max="3126" width="3.7109375" customWidth="1"/>
    <col min="3130" max="3130" width="3.7109375" customWidth="1"/>
    <col min="3134" max="3134" width="3.7109375" customWidth="1"/>
    <col min="3138" max="3138" width="3.7109375" customWidth="1"/>
    <col min="3142" max="3142" width="3.7109375" customWidth="1"/>
    <col min="3146" max="3146" width="3.7109375" customWidth="1"/>
    <col min="3150" max="3150" width="3.7109375" customWidth="1"/>
    <col min="3154" max="3154" width="3.7109375" customWidth="1"/>
    <col min="3158" max="3158" width="3.7109375" customWidth="1"/>
    <col min="3162" max="3162" width="3.7109375" customWidth="1"/>
    <col min="3166" max="3166" width="3.7109375" customWidth="1"/>
    <col min="3170" max="3170" width="3.7109375" customWidth="1"/>
    <col min="3174" max="3174" width="3.7109375" customWidth="1"/>
    <col min="3178" max="3178" width="3.7109375" customWidth="1"/>
    <col min="3182" max="3182" width="3.7109375" customWidth="1"/>
    <col min="3186" max="3186" width="3.7109375" customWidth="1"/>
    <col min="3190" max="3190" width="3.7109375" customWidth="1"/>
    <col min="3194" max="3194" width="3.7109375" customWidth="1"/>
    <col min="3198" max="3198" width="3.7109375" customWidth="1"/>
    <col min="3202" max="3202" width="3.7109375" customWidth="1"/>
    <col min="3369" max="3369" width="9.7109375" customWidth="1"/>
    <col min="3370" max="3370" width="3.7109375" customWidth="1"/>
    <col min="3382" max="3382" width="3.7109375" customWidth="1"/>
    <col min="3386" max="3386" width="3.7109375" customWidth="1"/>
    <col min="3390" max="3390" width="3.7109375" customWidth="1"/>
    <col min="3394" max="3394" width="3.7109375" customWidth="1"/>
    <col min="3398" max="3398" width="3.7109375" customWidth="1"/>
    <col min="3402" max="3402" width="3.7109375" customWidth="1"/>
    <col min="3406" max="3406" width="3.7109375" customWidth="1"/>
    <col min="3410" max="3410" width="3.7109375" customWidth="1"/>
    <col min="3414" max="3414" width="3.7109375" customWidth="1"/>
    <col min="3418" max="3418" width="3.7109375" customWidth="1"/>
    <col min="3422" max="3422" width="3.7109375" customWidth="1"/>
    <col min="3426" max="3426" width="3.7109375" customWidth="1"/>
    <col min="3430" max="3430" width="3.7109375" customWidth="1"/>
    <col min="3434" max="3434" width="3.7109375" customWidth="1"/>
    <col min="3438" max="3438" width="3.7109375" customWidth="1"/>
    <col min="3442" max="3442" width="3.7109375" customWidth="1"/>
    <col min="3446" max="3446" width="3.7109375" customWidth="1"/>
    <col min="3450" max="3450" width="3.7109375" customWidth="1"/>
    <col min="3454" max="3454" width="3.7109375" customWidth="1"/>
    <col min="3458" max="3458" width="3.7109375" customWidth="1"/>
    <col min="3625" max="3625" width="9.7109375" customWidth="1"/>
    <col min="3626" max="3626" width="3.7109375" customWidth="1"/>
    <col min="3638" max="3638" width="3.7109375" customWidth="1"/>
    <col min="3642" max="3642" width="3.7109375" customWidth="1"/>
    <col min="3646" max="3646" width="3.7109375" customWidth="1"/>
    <col min="3650" max="3650" width="3.7109375" customWidth="1"/>
    <col min="3654" max="3654" width="3.7109375" customWidth="1"/>
    <col min="3658" max="3658" width="3.7109375" customWidth="1"/>
    <col min="3662" max="3662" width="3.7109375" customWidth="1"/>
    <col min="3666" max="3666" width="3.7109375" customWidth="1"/>
    <col min="3670" max="3670" width="3.7109375" customWidth="1"/>
    <col min="3674" max="3674" width="3.7109375" customWidth="1"/>
    <col min="3678" max="3678" width="3.7109375" customWidth="1"/>
    <col min="3682" max="3682" width="3.7109375" customWidth="1"/>
    <col min="3686" max="3686" width="3.7109375" customWidth="1"/>
    <col min="3690" max="3690" width="3.7109375" customWidth="1"/>
    <col min="3694" max="3694" width="3.7109375" customWidth="1"/>
    <col min="3698" max="3698" width="3.7109375" customWidth="1"/>
    <col min="3702" max="3702" width="3.7109375" customWidth="1"/>
    <col min="3706" max="3706" width="3.7109375" customWidth="1"/>
    <col min="3710" max="3710" width="3.7109375" customWidth="1"/>
    <col min="3714" max="3714" width="3.7109375" customWidth="1"/>
    <col min="3881" max="3881" width="9.7109375" customWidth="1"/>
    <col min="3882" max="3882" width="3.7109375" customWidth="1"/>
    <col min="3894" max="3894" width="3.7109375" customWidth="1"/>
    <col min="3898" max="3898" width="3.7109375" customWidth="1"/>
    <col min="3902" max="3902" width="3.7109375" customWidth="1"/>
    <col min="3906" max="3906" width="3.7109375" customWidth="1"/>
    <col min="3910" max="3910" width="3.7109375" customWidth="1"/>
    <col min="3914" max="3914" width="3.7109375" customWidth="1"/>
    <col min="3918" max="3918" width="3.7109375" customWidth="1"/>
    <col min="3922" max="3922" width="3.7109375" customWidth="1"/>
    <col min="3926" max="3926" width="3.7109375" customWidth="1"/>
    <col min="3930" max="3930" width="3.7109375" customWidth="1"/>
    <col min="3934" max="3934" width="3.7109375" customWidth="1"/>
    <col min="3938" max="3938" width="3.7109375" customWidth="1"/>
    <col min="3942" max="3942" width="3.7109375" customWidth="1"/>
    <col min="3946" max="3946" width="3.7109375" customWidth="1"/>
    <col min="3950" max="3950" width="3.7109375" customWidth="1"/>
    <col min="3954" max="3954" width="3.7109375" customWidth="1"/>
    <col min="3958" max="3958" width="3.7109375" customWidth="1"/>
    <col min="3962" max="3962" width="3.7109375" customWidth="1"/>
    <col min="3966" max="3966" width="3.7109375" customWidth="1"/>
    <col min="3970" max="3970" width="3.7109375" customWidth="1"/>
    <col min="4137" max="4137" width="9.7109375" customWidth="1"/>
    <col min="4138" max="4138" width="3.7109375" customWidth="1"/>
    <col min="4150" max="4150" width="3.7109375" customWidth="1"/>
    <col min="4154" max="4154" width="3.7109375" customWidth="1"/>
    <col min="4158" max="4158" width="3.7109375" customWidth="1"/>
    <col min="4162" max="4162" width="3.7109375" customWidth="1"/>
    <col min="4166" max="4166" width="3.7109375" customWidth="1"/>
    <col min="4170" max="4170" width="3.7109375" customWidth="1"/>
    <col min="4174" max="4174" width="3.7109375" customWidth="1"/>
    <col min="4178" max="4178" width="3.7109375" customWidth="1"/>
    <col min="4182" max="4182" width="3.7109375" customWidth="1"/>
    <col min="4186" max="4186" width="3.7109375" customWidth="1"/>
    <col min="4190" max="4190" width="3.7109375" customWidth="1"/>
    <col min="4194" max="4194" width="3.7109375" customWidth="1"/>
    <col min="4198" max="4198" width="3.7109375" customWidth="1"/>
    <col min="4202" max="4202" width="3.7109375" customWidth="1"/>
    <col min="4206" max="4206" width="3.7109375" customWidth="1"/>
    <col min="4210" max="4210" width="3.7109375" customWidth="1"/>
    <col min="4214" max="4214" width="3.7109375" customWidth="1"/>
    <col min="4218" max="4218" width="3.7109375" customWidth="1"/>
    <col min="4222" max="4222" width="3.7109375" customWidth="1"/>
    <col min="4226" max="4226" width="3.7109375" customWidth="1"/>
    <col min="4393" max="4393" width="9.7109375" customWidth="1"/>
    <col min="4394" max="4394" width="3.7109375" customWidth="1"/>
    <col min="4406" max="4406" width="3.7109375" customWidth="1"/>
    <col min="4410" max="4410" width="3.7109375" customWidth="1"/>
    <col min="4414" max="4414" width="3.7109375" customWidth="1"/>
    <col min="4418" max="4418" width="3.7109375" customWidth="1"/>
    <col min="4422" max="4422" width="3.7109375" customWidth="1"/>
    <col min="4426" max="4426" width="3.7109375" customWidth="1"/>
    <col min="4430" max="4430" width="3.7109375" customWidth="1"/>
    <col min="4434" max="4434" width="3.7109375" customWidth="1"/>
    <col min="4438" max="4438" width="3.7109375" customWidth="1"/>
    <col min="4442" max="4442" width="3.7109375" customWidth="1"/>
    <col min="4446" max="4446" width="3.7109375" customWidth="1"/>
    <col min="4450" max="4450" width="3.7109375" customWidth="1"/>
    <col min="4454" max="4454" width="3.7109375" customWidth="1"/>
    <col min="4458" max="4458" width="3.7109375" customWidth="1"/>
    <col min="4462" max="4462" width="3.7109375" customWidth="1"/>
    <col min="4466" max="4466" width="3.7109375" customWidth="1"/>
    <col min="4470" max="4470" width="3.7109375" customWidth="1"/>
    <col min="4474" max="4474" width="3.7109375" customWidth="1"/>
    <col min="4478" max="4478" width="3.7109375" customWidth="1"/>
    <col min="4482" max="4482" width="3.7109375" customWidth="1"/>
    <col min="4649" max="4649" width="9.7109375" customWidth="1"/>
    <col min="4650" max="4650" width="3.7109375" customWidth="1"/>
    <col min="4662" max="4662" width="3.7109375" customWidth="1"/>
    <col min="4666" max="4666" width="3.7109375" customWidth="1"/>
    <col min="4670" max="4670" width="3.7109375" customWidth="1"/>
    <col min="4674" max="4674" width="3.7109375" customWidth="1"/>
    <col min="4678" max="4678" width="3.7109375" customWidth="1"/>
    <col min="4682" max="4682" width="3.7109375" customWidth="1"/>
    <col min="4686" max="4686" width="3.7109375" customWidth="1"/>
    <col min="4690" max="4690" width="3.7109375" customWidth="1"/>
    <col min="4694" max="4694" width="3.7109375" customWidth="1"/>
    <col min="4698" max="4698" width="3.7109375" customWidth="1"/>
    <col min="4702" max="4702" width="3.7109375" customWidth="1"/>
    <col min="4706" max="4706" width="3.7109375" customWidth="1"/>
    <col min="4710" max="4710" width="3.7109375" customWidth="1"/>
    <col min="4714" max="4714" width="3.7109375" customWidth="1"/>
    <col min="4718" max="4718" width="3.7109375" customWidth="1"/>
    <col min="4722" max="4722" width="3.7109375" customWidth="1"/>
    <col min="4726" max="4726" width="3.7109375" customWidth="1"/>
    <col min="4730" max="4730" width="3.7109375" customWidth="1"/>
    <col min="4734" max="4734" width="3.7109375" customWidth="1"/>
    <col min="4738" max="4738" width="3.7109375" customWidth="1"/>
    <col min="4905" max="4905" width="9.7109375" customWidth="1"/>
    <col min="4906" max="4906" width="3.7109375" customWidth="1"/>
    <col min="4918" max="4918" width="3.7109375" customWidth="1"/>
    <col min="4922" max="4922" width="3.7109375" customWidth="1"/>
    <col min="4926" max="4926" width="3.7109375" customWidth="1"/>
    <col min="4930" max="4930" width="3.7109375" customWidth="1"/>
    <col min="4934" max="4934" width="3.7109375" customWidth="1"/>
    <col min="4938" max="4938" width="3.7109375" customWidth="1"/>
    <col min="4942" max="4942" width="3.7109375" customWidth="1"/>
    <col min="4946" max="4946" width="3.7109375" customWidth="1"/>
    <col min="4950" max="4950" width="3.7109375" customWidth="1"/>
    <col min="4954" max="4954" width="3.7109375" customWidth="1"/>
    <col min="4958" max="4958" width="3.7109375" customWidth="1"/>
    <col min="4962" max="4962" width="3.7109375" customWidth="1"/>
    <col min="4966" max="4966" width="3.7109375" customWidth="1"/>
    <col min="4970" max="4970" width="3.7109375" customWidth="1"/>
    <col min="4974" max="4974" width="3.7109375" customWidth="1"/>
    <col min="4978" max="4978" width="3.7109375" customWidth="1"/>
    <col min="4982" max="4982" width="3.7109375" customWidth="1"/>
    <col min="4986" max="4986" width="3.7109375" customWidth="1"/>
    <col min="4990" max="4990" width="3.7109375" customWidth="1"/>
    <col min="4994" max="4994" width="3.7109375" customWidth="1"/>
    <col min="5161" max="5161" width="9.7109375" customWidth="1"/>
    <col min="5162" max="5162" width="3.7109375" customWidth="1"/>
    <col min="5174" max="5174" width="3.7109375" customWidth="1"/>
    <col min="5178" max="5178" width="3.7109375" customWidth="1"/>
    <col min="5182" max="5182" width="3.7109375" customWidth="1"/>
    <col min="5186" max="5186" width="3.7109375" customWidth="1"/>
    <col min="5190" max="5190" width="3.7109375" customWidth="1"/>
    <col min="5194" max="5194" width="3.7109375" customWidth="1"/>
    <col min="5198" max="5198" width="3.7109375" customWidth="1"/>
    <col min="5202" max="5202" width="3.7109375" customWidth="1"/>
    <col min="5206" max="5206" width="3.7109375" customWidth="1"/>
    <col min="5210" max="5210" width="3.7109375" customWidth="1"/>
    <col min="5214" max="5214" width="3.7109375" customWidth="1"/>
    <col min="5218" max="5218" width="3.7109375" customWidth="1"/>
    <col min="5222" max="5222" width="3.7109375" customWidth="1"/>
    <col min="5226" max="5226" width="3.7109375" customWidth="1"/>
    <col min="5230" max="5230" width="3.7109375" customWidth="1"/>
    <col min="5234" max="5234" width="3.7109375" customWidth="1"/>
    <col min="5238" max="5238" width="3.7109375" customWidth="1"/>
    <col min="5242" max="5242" width="3.7109375" customWidth="1"/>
    <col min="5246" max="5246" width="3.7109375" customWidth="1"/>
    <col min="5250" max="5250" width="3.7109375" customWidth="1"/>
    <col min="5417" max="5417" width="9.7109375" customWidth="1"/>
    <col min="5418" max="5418" width="3.7109375" customWidth="1"/>
    <col min="5430" max="5430" width="3.7109375" customWidth="1"/>
    <col min="5434" max="5434" width="3.7109375" customWidth="1"/>
    <col min="5438" max="5438" width="3.7109375" customWidth="1"/>
    <col min="5442" max="5442" width="3.7109375" customWidth="1"/>
    <col min="5446" max="5446" width="3.7109375" customWidth="1"/>
    <col min="5450" max="5450" width="3.7109375" customWidth="1"/>
    <col min="5454" max="5454" width="3.7109375" customWidth="1"/>
    <col min="5458" max="5458" width="3.7109375" customWidth="1"/>
    <col min="5462" max="5462" width="3.7109375" customWidth="1"/>
    <col min="5466" max="5466" width="3.7109375" customWidth="1"/>
    <col min="5470" max="5470" width="3.7109375" customWidth="1"/>
    <col min="5474" max="5474" width="3.7109375" customWidth="1"/>
    <col min="5478" max="5478" width="3.7109375" customWidth="1"/>
    <col min="5482" max="5482" width="3.7109375" customWidth="1"/>
    <col min="5486" max="5486" width="3.7109375" customWidth="1"/>
    <col min="5490" max="5490" width="3.7109375" customWidth="1"/>
    <col min="5494" max="5494" width="3.7109375" customWidth="1"/>
    <col min="5498" max="5498" width="3.7109375" customWidth="1"/>
    <col min="5502" max="5502" width="3.7109375" customWidth="1"/>
    <col min="5506" max="5506" width="3.7109375" customWidth="1"/>
    <col min="5673" max="5673" width="9.7109375" customWidth="1"/>
    <col min="5674" max="5674" width="3.7109375" customWidth="1"/>
    <col min="5686" max="5686" width="3.7109375" customWidth="1"/>
    <col min="5690" max="5690" width="3.7109375" customWidth="1"/>
    <col min="5694" max="5694" width="3.7109375" customWidth="1"/>
    <col min="5698" max="5698" width="3.7109375" customWidth="1"/>
    <col min="5702" max="5702" width="3.7109375" customWidth="1"/>
    <col min="5706" max="5706" width="3.7109375" customWidth="1"/>
    <col min="5710" max="5710" width="3.7109375" customWidth="1"/>
    <col min="5714" max="5714" width="3.7109375" customWidth="1"/>
    <col min="5718" max="5718" width="3.7109375" customWidth="1"/>
    <col min="5722" max="5722" width="3.7109375" customWidth="1"/>
    <col min="5726" max="5726" width="3.7109375" customWidth="1"/>
    <col min="5730" max="5730" width="3.7109375" customWidth="1"/>
    <col min="5734" max="5734" width="3.7109375" customWidth="1"/>
    <col min="5738" max="5738" width="3.7109375" customWidth="1"/>
    <col min="5742" max="5742" width="3.7109375" customWidth="1"/>
    <col min="5746" max="5746" width="3.7109375" customWidth="1"/>
    <col min="5750" max="5750" width="3.7109375" customWidth="1"/>
    <col min="5754" max="5754" width="3.7109375" customWidth="1"/>
    <col min="5758" max="5758" width="3.7109375" customWidth="1"/>
    <col min="5762" max="5762" width="3.7109375" customWidth="1"/>
    <col min="5929" max="5929" width="9.7109375" customWidth="1"/>
    <col min="5930" max="5930" width="3.7109375" customWidth="1"/>
    <col min="5942" max="5942" width="3.7109375" customWidth="1"/>
    <col min="5946" max="5946" width="3.7109375" customWidth="1"/>
    <col min="5950" max="5950" width="3.7109375" customWidth="1"/>
    <col min="5954" max="5954" width="3.7109375" customWidth="1"/>
    <col min="5958" max="5958" width="3.7109375" customWidth="1"/>
    <col min="5962" max="5962" width="3.7109375" customWidth="1"/>
    <col min="5966" max="5966" width="3.7109375" customWidth="1"/>
    <col min="5970" max="5970" width="3.7109375" customWidth="1"/>
    <col min="5974" max="5974" width="3.7109375" customWidth="1"/>
    <col min="5978" max="5978" width="3.7109375" customWidth="1"/>
    <col min="5982" max="5982" width="3.7109375" customWidth="1"/>
    <col min="5986" max="5986" width="3.7109375" customWidth="1"/>
    <col min="5990" max="5990" width="3.7109375" customWidth="1"/>
    <col min="5994" max="5994" width="3.7109375" customWidth="1"/>
    <col min="5998" max="5998" width="3.7109375" customWidth="1"/>
    <col min="6002" max="6002" width="3.7109375" customWidth="1"/>
    <col min="6006" max="6006" width="3.7109375" customWidth="1"/>
    <col min="6010" max="6010" width="3.7109375" customWidth="1"/>
    <col min="6014" max="6014" width="3.7109375" customWidth="1"/>
    <col min="6018" max="6018" width="3.7109375" customWidth="1"/>
    <col min="6185" max="6185" width="9.7109375" customWidth="1"/>
    <col min="6186" max="6186" width="3.7109375" customWidth="1"/>
    <col min="6198" max="6198" width="3.7109375" customWidth="1"/>
    <col min="6202" max="6202" width="3.7109375" customWidth="1"/>
    <col min="6206" max="6206" width="3.7109375" customWidth="1"/>
    <col min="6210" max="6210" width="3.7109375" customWidth="1"/>
    <col min="6214" max="6214" width="3.7109375" customWidth="1"/>
    <col min="6218" max="6218" width="3.7109375" customWidth="1"/>
    <col min="6222" max="6222" width="3.7109375" customWidth="1"/>
    <col min="6226" max="6226" width="3.7109375" customWidth="1"/>
    <col min="6230" max="6230" width="3.7109375" customWidth="1"/>
    <col min="6234" max="6234" width="3.7109375" customWidth="1"/>
    <col min="6238" max="6238" width="3.7109375" customWidth="1"/>
    <col min="6242" max="6242" width="3.7109375" customWidth="1"/>
    <col min="6246" max="6246" width="3.7109375" customWidth="1"/>
    <col min="6250" max="6250" width="3.7109375" customWidth="1"/>
    <col min="6254" max="6254" width="3.7109375" customWidth="1"/>
    <col min="6258" max="6258" width="3.7109375" customWidth="1"/>
    <col min="6262" max="6262" width="3.7109375" customWidth="1"/>
    <col min="6266" max="6266" width="3.7109375" customWidth="1"/>
    <col min="6270" max="6270" width="3.7109375" customWidth="1"/>
    <col min="6274" max="6274" width="3.7109375" customWidth="1"/>
    <col min="6441" max="6441" width="9.7109375" customWidth="1"/>
    <col min="6442" max="6442" width="3.7109375" customWidth="1"/>
    <col min="6454" max="6454" width="3.7109375" customWidth="1"/>
    <col min="6458" max="6458" width="3.7109375" customWidth="1"/>
    <col min="6462" max="6462" width="3.7109375" customWidth="1"/>
    <col min="6466" max="6466" width="3.7109375" customWidth="1"/>
    <col min="6470" max="6470" width="3.7109375" customWidth="1"/>
    <col min="6474" max="6474" width="3.7109375" customWidth="1"/>
    <col min="6478" max="6478" width="3.7109375" customWidth="1"/>
    <col min="6482" max="6482" width="3.7109375" customWidth="1"/>
    <col min="6486" max="6486" width="3.7109375" customWidth="1"/>
    <col min="6490" max="6490" width="3.7109375" customWidth="1"/>
    <col min="6494" max="6494" width="3.7109375" customWidth="1"/>
    <col min="6498" max="6498" width="3.7109375" customWidth="1"/>
    <col min="6502" max="6502" width="3.7109375" customWidth="1"/>
    <col min="6506" max="6506" width="3.7109375" customWidth="1"/>
    <col min="6510" max="6510" width="3.7109375" customWidth="1"/>
    <col min="6514" max="6514" width="3.7109375" customWidth="1"/>
    <col min="6518" max="6518" width="3.7109375" customWidth="1"/>
    <col min="6522" max="6522" width="3.7109375" customWidth="1"/>
    <col min="6526" max="6526" width="3.7109375" customWidth="1"/>
    <col min="6530" max="6530" width="3.7109375" customWidth="1"/>
    <col min="6697" max="6697" width="9.7109375" customWidth="1"/>
    <col min="6698" max="6698" width="3.7109375" customWidth="1"/>
    <col min="6710" max="6710" width="3.7109375" customWidth="1"/>
    <col min="6714" max="6714" width="3.7109375" customWidth="1"/>
    <col min="6718" max="6718" width="3.7109375" customWidth="1"/>
    <col min="6722" max="6722" width="3.7109375" customWidth="1"/>
    <col min="6726" max="6726" width="3.7109375" customWidth="1"/>
    <col min="6730" max="6730" width="3.7109375" customWidth="1"/>
    <col min="6734" max="6734" width="3.7109375" customWidth="1"/>
    <col min="6738" max="6738" width="3.7109375" customWidth="1"/>
    <col min="6742" max="6742" width="3.7109375" customWidth="1"/>
    <col min="6746" max="6746" width="3.7109375" customWidth="1"/>
    <col min="6750" max="6750" width="3.7109375" customWidth="1"/>
    <col min="6754" max="6754" width="3.7109375" customWidth="1"/>
    <col min="6758" max="6758" width="3.7109375" customWidth="1"/>
    <col min="6762" max="6762" width="3.7109375" customWidth="1"/>
    <col min="6766" max="6766" width="3.7109375" customWidth="1"/>
    <col min="6770" max="6770" width="3.7109375" customWidth="1"/>
    <col min="6774" max="6774" width="3.7109375" customWidth="1"/>
    <col min="6778" max="6778" width="3.7109375" customWidth="1"/>
    <col min="6782" max="6782" width="3.7109375" customWidth="1"/>
    <col min="6786" max="6786" width="3.7109375" customWidth="1"/>
    <col min="6953" max="6953" width="9.7109375" customWidth="1"/>
    <col min="6954" max="6954" width="3.7109375" customWidth="1"/>
    <col min="6966" max="6966" width="3.7109375" customWidth="1"/>
    <col min="6970" max="6970" width="3.7109375" customWidth="1"/>
    <col min="6974" max="6974" width="3.7109375" customWidth="1"/>
    <col min="6978" max="6978" width="3.7109375" customWidth="1"/>
    <col min="6982" max="6982" width="3.7109375" customWidth="1"/>
    <col min="6986" max="6986" width="3.7109375" customWidth="1"/>
    <col min="6990" max="6990" width="3.7109375" customWidth="1"/>
    <col min="6994" max="6994" width="3.7109375" customWidth="1"/>
    <col min="6998" max="6998" width="3.7109375" customWidth="1"/>
    <col min="7002" max="7002" width="3.7109375" customWidth="1"/>
    <col min="7006" max="7006" width="3.7109375" customWidth="1"/>
    <col min="7010" max="7010" width="3.7109375" customWidth="1"/>
    <col min="7014" max="7014" width="3.7109375" customWidth="1"/>
    <col min="7018" max="7018" width="3.7109375" customWidth="1"/>
    <col min="7022" max="7022" width="3.7109375" customWidth="1"/>
    <col min="7026" max="7026" width="3.7109375" customWidth="1"/>
    <col min="7030" max="7030" width="3.7109375" customWidth="1"/>
    <col min="7034" max="7034" width="3.7109375" customWidth="1"/>
    <col min="7038" max="7038" width="3.7109375" customWidth="1"/>
    <col min="7042" max="7042" width="3.7109375" customWidth="1"/>
    <col min="7209" max="7209" width="9.7109375" customWidth="1"/>
    <col min="7210" max="7210" width="3.7109375" customWidth="1"/>
    <col min="7222" max="7222" width="3.7109375" customWidth="1"/>
    <col min="7226" max="7226" width="3.7109375" customWidth="1"/>
    <col min="7230" max="7230" width="3.7109375" customWidth="1"/>
    <col min="7234" max="7234" width="3.7109375" customWidth="1"/>
    <col min="7238" max="7238" width="3.7109375" customWidth="1"/>
    <col min="7242" max="7242" width="3.7109375" customWidth="1"/>
    <col min="7246" max="7246" width="3.7109375" customWidth="1"/>
    <col min="7250" max="7250" width="3.7109375" customWidth="1"/>
    <col min="7254" max="7254" width="3.7109375" customWidth="1"/>
    <col min="7258" max="7258" width="3.7109375" customWidth="1"/>
    <col min="7262" max="7262" width="3.7109375" customWidth="1"/>
    <col min="7266" max="7266" width="3.7109375" customWidth="1"/>
    <col min="7270" max="7270" width="3.7109375" customWidth="1"/>
    <col min="7274" max="7274" width="3.7109375" customWidth="1"/>
    <col min="7278" max="7278" width="3.7109375" customWidth="1"/>
    <col min="7282" max="7282" width="3.7109375" customWidth="1"/>
    <col min="7286" max="7286" width="3.7109375" customWidth="1"/>
    <col min="7290" max="7290" width="3.7109375" customWidth="1"/>
    <col min="7294" max="7294" width="3.7109375" customWidth="1"/>
    <col min="7298" max="7298" width="3.7109375" customWidth="1"/>
    <col min="7465" max="7465" width="9.7109375" customWidth="1"/>
    <col min="7466" max="7466" width="3.7109375" customWidth="1"/>
    <col min="7478" max="7478" width="3.7109375" customWidth="1"/>
    <col min="7482" max="7482" width="3.7109375" customWidth="1"/>
    <col min="7486" max="7486" width="3.7109375" customWidth="1"/>
    <col min="7490" max="7490" width="3.7109375" customWidth="1"/>
    <col min="7494" max="7494" width="3.7109375" customWidth="1"/>
    <col min="7498" max="7498" width="3.7109375" customWidth="1"/>
    <col min="7502" max="7502" width="3.7109375" customWidth="1"/>
    <col min="7506" max="7506" width="3.7109375" customWidth="1"/>
    <col min="7510" max="7510" width="3.7109375" customWidth="1"/>
    <col min="7514" max="7514" width="3.7109375" customWidth="1"/>
    <col min="7518" max="7518" width="3.7109375" customWidth="1"/>
    <col min="7522" max="7522" width="3.7109375" customWidth="1"/>
    <col min="7526" max="7526" width="3.7109375" customWidth="1"/>
    <col min="7530" max="7530" width="3.7109375" customWidth="1"/>
    <col min="7534" max="7534" width="3.7109375" customWidth="1"/>
    <col min="7538" max="7538" width="3.7109375" customWidth="1"/>
    <col min="7542" max="7542" width="3.7109375" customWidth="1"/>
    <col min="7546" max="7546" width="3.7109375" customWidth="1"/>
    <col min="7550" max="7550" width="3.7109375" customWidth="1"/>
    <col min="7554" max="7554" width="3.7109375" customWidth="1"/>
    <col min="7721" max="7721" width="9.7109375" customWidth="1"/>
    <col min="7722" max="7722" width="3.7109375" customWidth="1"/>
    <col min="7734" max="7734" width="3.7109375" customWidth="1"/>
    <col min="7738" max="7738" width="3.7109375" customWidth="1"/>
    <col min="7742" max="7742" width="3.7109375" customWidth="1"/>
    <col min="7746" max="7746" width="3.7109375" customWidth="1"/>
    <col min="7750" max="7750" width="3.7109375" customWidth="1"/>
    <col min="7754" max="7754" width="3.7109375" customWidth="1"/>
    <col min="7758" max="7758" width="3.7109375" customWidth="1"/>
    <col min="7762" max="7762" width="3.7109375" customWidth="1"/>
    <col min="7766" max="7766" width="3.7109375" customWidth="1"/>
    <col min="7770" max="7770" width="3.7109375" customWidth="1"/>
    <col min="7774" max="7774" width="3.7109375" customWidth="1"/>
    <col min="7778" max="7778" width="3.7109375" customWidth="1"/>
    <col min="7782" max="7782" width="3.7109375" customWidth="1"/>
    <col min="7786" max="7786" width="3.7109375" customWidth="1"/>
    <col min="7790" max="7790" width="3.7109375" customWidth="1"/>
    <col min="7794" max="7794" width="3.7109375" customWidth="1"/>
    <col min="7798" max="7798" width="3.7109375" customWidth="1"/>
    <col min="7802" max="7802" width="3.7109375" customWidth="1"/>
    <col min="7806" max="7806" width="3.7109375" customWidth="1"/>
    <col min="7810" max="7810" width="3.7109375" customWidth="1"/>
    <col min="7977" max="7977" width="9.7109375" customWidth="1"/>
    <col min="7978" max="7978" width="3.7109375" customWidth="1"/>
    <col min="7990" max="7990" width="3.7109375" customWidth="1"/>
    <col min="7994" max="7994" width="3.7109375" customWidth="1"/>
    <col min="7998" max="7998" width="3.7109375" customWidth="1"/>
    <col min="8002" max="8002" width="3.7109375" customWidth="1"/>
    <col min="8006" max="8006" width="3.7109375" customWidth="1"/>
    <col min="8010" max="8010" width="3.7109375" customWidth="1"/>
    <col min="8014" max="8014" width="3.7109375" customWidth="1"/>
    <col min="8018" max="8018" width="3.7109375" customWidth="1"/>
    <col min="8022" max="8022" width="3.7109375" customWidth="1"/>
    <col min="8026" max="8026" width="3.7109375" customWidth="1"/>
    <col min="8030" max="8030" width="3.7109375" customWidth="1"/>
    <col min="8034" max="8034" width="3.7109375" customWidth="1"/>
    <col min="8038" max="8038" width="3.7109375" customWidth="1"/>
    <col min="8042" max="8042" width="3.7109375" customWidth="1"/>
    <col min="8046" max="8046" width="3.7109375" customWidth="1"/>
    <col min="8050" max="8050" width="3.7109375" customWidth="1"/>
    <col min="8054" max="8054" width="3.7109375" customWidth="1"/>
    <col min="8058" max="8058" width="3.7109375" customWidth="1"/>
    <col min="8062" max="8062" width="3.7109375" customWidth="1"/>
    <col min="8066" max="8066" width="3.7109375" customWidth="1"/>
    <col min="8233" max="8233" width="9.7109375" customWidth="1"/>
    <col min="8234" max="8234" width="3.7109375" customWidth="1"/>
    <col min="8246" max="8246" width="3.7109375" customWidth="1"/>
    <col min="8250" max="8250" width="3.7109375" customWidth="1"/>
    <col min="8254" max="8254" width="3.7109375" customWidth="1"/>
    <col min="8258" max="8258" width="3.7109375" customWidth="1"/>
    <col min="8262" max="8262" width="3.7109375" customWidth="1"/>
    <col min="8266" max="8266" width="3.7109375" customWidth="1"/>
    <col min="8270" max="8270" width="3.7109375" customWidth="1"/>
    <col min="8274" max="8274" width="3.7109375" customWidth="1"/>
    <col min="8278" max="8278" width="3.7109375" customWidth="1"/>
    <col min="8282" max="8282" width="3.7109375" customWidth="1"/>
    <col min="8286" max="8286" width="3.7109375" customWidth="1"/>
    <col min="8290" max="8290" width="3.7109375" customWidth="1"/>
    <col min="8294" max="8294" width="3.7109375" customWidth="1"/>
    <col min="8298" max="8298" width="3.7109375" customWidth="1"/>
    <col min="8302" max="8302" width="3.7109375" customWidth="1"/>
    <col min="8306" max="8306" width="3.7109375" customWidth="1"/>
    <col min="8310" max="8310" width="3.7109375" customWidth="1"/>
    <col min="8314" max="8314" width="3.7109375" customWidth="1"/>
    <col min="8318" max="8318" width="3.7109375" customWidth="1"/>
    <col min="8322" max="8322" width="3.7109375" customWidth="1"/>
    <col min="8489" max="8489" width="9.7109375" customWidth="1"/>
    <col min="8490" max="8490" width="3.7109375" customWidth="1"/>
    <col min="8502" max="8502" width="3.7109375" customWidth="1"/>
    <col min="8506" max="8506" width="3.7109375" customWidth="1"/>
    <col min="8510" max="8510" width="3.7109375" customWidth="1"/>
    <col min="8514" max="8514" width="3.7109375" customWidth="1"/>
    <col min="8518" max="8518" width="3.7109375" customWidth="1"/>
    <col min="8522" max="8522" width="3.7109375" customWidth="1"/>
    <col min="8526" max="8526" width="3.7109375" customWidth="1"/>
    <col min="8530" max="8530" width="3.7109375" customWidth="1"/>
    <col min="8534" max="8534" width="3.7109375" customWidth="1"/>
    <col min="8538" max="8538" width="3.7109375" customWidth="1"/>
    <col min="8542" max="8542" width="3.7109375" customWidth="1"/>
    <col min="8546" max="8546" width="3.7109375" customWidth="1"/>
    <col min="8550" max="8550" width="3.7109375" customWidth="1"/>
    <col min="8554" max="8554" width="3.7109375" customWidth="1"/>
    <col min="8558" max="8558" width="3.7109375" customWidth="1"/>
    <col min="8562" max="8562" width="3.7109375" customWidth="1"/>
    <col min="8566" max="8566" width="3.7109375" customWidth="1"/>
    <col min="8570" max="8570" width="3.7109375" customWidth="1"/>
    <col min="8574" max="8574" width="3.7109375" customWidth="1"/>
    <col min="8578" max="8578" width="3.7109375" customWidth="1"/>
    <col min="8745" max="8745" width="9.7109375" customWidth="1"/>
    <col min="8746" max="8746" width="3.7109375" customWidth="1"/>
    <col min="8758" max="8758" width="3.7109375" customWidth="1"/>
    <col min="8762" max="8762" width="3.7109375" customWidth="1"/>
    <col min="8766" max="8766" width="3.7109375" customWidth="1"/>
    <col min="8770" max="8770" width="3.7109375" customWidth="1"/>
    <col min="8774" max="8774" width="3.7109375" customWidth="1"/>
    <col min="8778" max="8778" width="3.7109375" customWidth="1"/>
    <col min="8782" max="8782" width="3.7109375" customWidth="1"/>
    <col min="8786" max="8786" width="3.7109375" customWidth="1"/>
    <col min="8790" max="8790" width="3.7109375" customWidth="1"/>
    <col min="8794" max="8794" width="3.7109375" customWidth="1"/>
    <col min="8798" max="8798" width="3.7109375" customWidth="1"/>
    <col min="8802" max="8802" width="3.7109375" customWidth="1"/>
    <col min="8806" max="8806" width="3.7109375" customWidth="1"/>
    <col min="8810" max="8810" width="3.7109375" customWidth="1"/>
    <col min="8814" max="8814" width="3.7109375" customWidth="1"/>
    <col min="8818" max="8818" width="3.7109375" customWidth="1"/>
    <col min="8822" max="8822" width="3.7109375" customWidth="1"/>
    <col min="8826" max="8826" width="3.7109375" customWidth="1"/>
    <col min="8830" max="8830" width="3.7109375" customWidth="1"/>
    <col min="8834" max="8834" width="3.7109375" customWidth="1"/>
    <col min="9001" max="9001" width="9.7109375" customWidth="1"/>
    <col min="9002" max="9002" width="3.7109375" customWidth="1"/>
    <col min="9014" max="9014" width="3.7109375" customWidth="1"/>
    <col min="9018" max="9018" width="3.7109375" customWidth="1"/>
    <col min="9022" max="9022" width="3.7109375" customWidth="1"/>
    <col min="9026" max="9026" width="3.7109375" customWidth="1"/>
    <col min="9030" max="9030" width="3.7109375" customWidth="1"/>
    <col min="9034" max="9034" width="3.7109375" customWidth="1"/>
    <col min="9038" max="9038" width="3.7109375" customWidth="1"/>
    <col min="9042" max="9042" width="3.7109375" customWidth="1"/>
    <col min="9046" max="9046" width="3.7109375" customWidth="1"/>
    <col min="9050" max="9050" width="3.7109375" customWidth="1"/>
    <col min="9054" max="9054" width="3.7109375" customWidth="1"/>
    <col min="9058" max="9058" width="3.7109375" customWidth="1"/>
    <col min="9062" max="9062" width="3.7109375" customWidth="1"/>
    <col min="9066" max="9066" width="3.7109375" customWidth="1"/>
    <col min="9070" max="9070" width="3.7109375" customWidth="1"/>
    <col min="9074" max="9074" width="3.7109375" customWidth="1"/>
    <col min="9078" max="9078" width="3.7109375" customWidth="1"/>
    <col min="9082" max="9082" width="3.7109375" customWidth="1"/>
    <col min="9086" max="9086" width="3.7109375" customWidth="1"/>
    <col min="9090" max="9090" width="3.7109375" customWidth="1"/>
    <col min="9257" max="9257" width="9.7109375" customWidth="1"/>
    <col min="9258" max="9258" width="3.7109375" customWidth="1"/>
    <col min="9270" max="9270" width="3.7109375" customWidth="1"/>
    <col min="9274" max="9274" width="3.7109375" customWidth="1"/>
    <col min="9278" max="9278" width="3.7109375" customWidth="1"/>
    <col min="9282" max="9282" width="3.7109375" customWidth="1"/>
    <col min="9286" max="9286" width="3.7109375" customWidth="1"/>
    <col min="9290" max="9290" width="3.7109375" customWidth="1"/>
    <col min="9294" max="9294" width="3.7109375" customWidth="1"/>
    <col min="9298" max="9298" width="3.7109375" customWidth="1"/>
    <col min="9302" max="9302" width="3.7109375" customWidth="1"/>
    <col min="9306" max="9306" width="3.7109375" customWidth="1"/>
    <col min="9310" max="9310" width="3.7109375" customWidth="1"/>
    <col min="9314" max="9314" width="3.7109375" customWidth="1"/>
    <col min="9318" max="9318" width="3.7109375" customWidth="1"/>
    <col min="9322" max="9322" width="3.7109375" customWidth="1"/>
    <col min="9326" max="9326" width="3.7109375" customWidth="1"/>
    <col min="9330" max="9330" width="3.7109375" customWidth="1"/>
    <col min="9334" max="9334" width="3.7109375" customWidth="1"/>
    <col min="9338" max="9338" width="3.7109375" customWidth="1"/>
    <col min="9342" max="9342" width="3.7109375" customWidth="1"/>
    <col min="9346" max="9346" width="3.7109375" customWidth="1"/>
    <col min="9513" max="9513" width="9.7109375" customWidth="1"/>
    <col min="9514" max="9514" width="3.7109375" customWidth="1"/>
    <col min="9526" max="9526" width="3.7109375" customWidth="1"/>
    <col min="9530" max="9530" width="3.7109375" customWidth="1"/>
    <col min="9534" max="9534" width="3.7109375" customWidth="1"/>
    <col min="9538" max="9538" width="3.7109375" customWidth="1"/>
    <col min="9542" max="9542" width="3.7109375" customWidth="1"/>
    <col min="9546" max="9546" width="3.7109375" customWidth="1"/>
    <col min="9550" max="9550" width="3.7109375" customWidth="1"/>
    <col min="9554" max="9554" width="3.7109375" customWidth="1"/>
    <col min="9558" max="9558" width="3.7109375" customWidth="1"/>
    <col min="9562" max="9562" width="3.7109375" customWidth="1"/>
    <col min="9566" max="9566" width="3.7109375" customWidth="1"/>
    <col min="9570" max="9570" width="3.7109375" customWidth="1"/>
    <col min="9574" max="9574" width="3.7109375" customWidth="1"/>
    <col min="9578" max="9578" width="3.7109375" customWidth="1"/>
    <col min="9582" max="9582" width="3.7109375" customWidth="1"/>
    <col min="9586" max="9586" width="3.7109375" customWidth="1"/>
    <col min="9590" max="9590" width="3.7109375" customWidth="1"/>
    <col min="9594" max="9594" width="3.7109375" customWidth="1"/>
    <col min="9598" max="9598" width="3.7109375" customWidth="1"/>
    <col min="9602" max="9602" width="3.7109375" customWidth="1"/>
    <col min="9769" max="9769" width="9.7109375" customWidth="1"/>
    <col min="9770" max="9770" width="3.7109375" customWidth="1"/>
    <col min="9782" max="9782" width="3.7109375" customWidth="1"/>
    <col min="9786" max="9786" width="3.7109375" customWidth="1"/>
    <col min="9790" max="9790" width="3.7109375" customWidth="1"/>
    <col min="9794" max="9794" width="3.7109375" customWidth="1"/>
    <col min="9798" max="9798" width="3.7109375" customWidth="1"/>
    <col min="9802" max="9802" width="3.7109375" customWidth="1"/>
    <col min="9806" max="9806" width="3.7109375" customWidth="1"/>
    <col min="9810" max="9810" width="3.7109375" customWidth="1"/>
    <col min="9814" max="9814" width="3.7109375" customWidth="1"/>
    <col min="9818" max="9818" width="3.7109375" customWidth="1"/>
    <col min="9822" max="9822" width="3.7109375" customWidth="1"/>
    <col min="9826" max="9826" width="3.7109375" customWidth="1"/>
    <col min="9830" max="9830" width="3.7109375" customWidth="1"/>
    <col min="9834" max="9834" width="3.7109375" customWidth="1"/>
    <col min="9838" max="9838" width="3.7109375" customWidth="1"/>
    <col min="9842" max="9842" width="3.7109375" customWidth="1"/>
    <col min="9846" max="9846" width="3.7109375" customWidth="1"/>
    <col min="9850" max="9850" width="3.7109375" customWidth="1"/>
    <col min="9854" max="9854" width="3.7109375" customWidth="1"/>
    <col min="9858" max="9858" width="3.7109375" customWidth="1"/>
    <col min="10025" max="10025" width="9.7109375" customWidth="1"/>
    <col min="10026" max="10026" width="3.7109375" customWidth="1"/>
    <col min="10038" max="10038" width="3.7109375" customWidth="1"/>
    <col min="10042" max="10042" width="3.7109375" customWidth="1"/>
    <col min="10046" max="10046" width="3.7109375" customWidth="1"/>
    <col min="10050" max="10050" width="3.7109375" customWidth="1"/>
    <col min="10054" max="10054" width="3.7109375" customWidth="1"/>
    <col min="10058" max="10058" width="3.7109375" customWidth="1"/>
    <col min="10062" max="10062" width="3.7109375" customWidth="1"/>
    <col min="10066" max="10066" width="3.7109375" customWidth="1"/>
    <col min="10070" max="10070" width="3.7109375" customWidth="1"/>
    <col min="10074" max="10074" width="3.7109375" customWidth="1"/>
    <col min="10078" max="10078" width="3.7109375" customWidth="1"/>
    <col min="10082" max="10082" width="3.7109375" customWidth="1"/>
    <col min="10086" max="10086" width="3.7109375" customWidth="1"/>
    <col min="10090" max="10090" width="3.7109375" customWidth="1"/>
    <col min="10094" max="10094" width="3.7109375" customWidth="1"/>
    <col min="10098" max="10098" width="3.7109375" customWidth="1"/>
    <col min="10102" max="10102" width="3.7109375" customWidth="1"/>
    <col min="10106" max="10106" width="3.7109375" customWidth="1"/>
    <col min="10110" max="10110" width="3.7109375" customWidth="1"/>
    <col min="10114" max="10114" width="3.7109375" customWidth="1"/>
    <col min="10281" max="10281" width="9.7109375" customWidth="1"/>
    <col min="10282" max="10282" width="3.7109375" customWidth="1"/>
    <col min="10294" max="10294" width="3.7109375" customWidth="1"/>
    <col min="10298" max="10298" width="3.7109375" customWidth="1"/>
    <col min="10302" max="10302" width="3.7109375" customWidth="1"/>
    <col min="10306" max="10306" width="3.7109375" customWidth="1"/>
    <col min="10310" max="10310" width="3.7109375" customWidth="1"/>
    <col min="10314" max="10314" width="3.7109375" customWidth="1"/>
    <col min="10318" max="10318" width="3.7109375" customWidth="1"/>
    <col min="10322" max="10322" width="3.7109375" customWidth="1"/>
    <col min="10326" max="10326" width="3.7109375" customWidth="1"/>
    <col min="10330" max="10330" width="3.7109375" customWidth="1"/>
    <col min="10334" max="10334" width="3.7109375" customWidth="1"/>
    <col min="10338" max="10338" width="3.7109375" customWidth="1"/>
    <col min="10342" max="10342" width="3.7109375" customWidth="1"/>
    <col min="10346" max="10346" width="3.7109375" customWidth="1"/>
    <col min="10350" max="10350" width="3.7109375" customWidth="1"/>
    <col min="10354" max="10354" width="3.7109375" customWidth="1"/>
    <col min="10358" max="10358" width="3.7109375" customWidth="1"/>
    <col min="10362" max="10362" width="3.7109375" customWidth="1"/>
    <col min="10366" max="10366" width="3.7109375" customWidth="1"/>
    <col min="10370" max="10370" width="3.7109375" customWidth="1"/>
    <col min="10537" max="10537" width="9.7109375" customWidth="1"/>
    <col min="10538" max="10538" width="3.7109375" customWidth="1"/>
    <col min="10550" max="10550" width="3.7109375" customWidth="1"/>
    <col min="10554" max="10554" width="3.7109375" customWidth="1"/>
    <col min="10558" max="10558" width="3.7109375" customWidth="1"/>
    <col min="10562" max="10562" width="3.7109375" customWidth="1"/>
    <col min="10566" max="10566" width="3.7109375" customWidth="1"/>
    <col min="10570" max="10570" width="3.7109375" customWidth="1"/>
    <col min="10574" max="10574" width="3.7109375" customWidth="1"/>
    <col min="10578" max="10578" width="3.7109375" customWidth="1"/>
    <col min="10582" max="10582" width="3.7109375" customWidth="1"/>
    <col min="10586" max="10586" width="3.7109375" customWidth="1"/>
    <col min="10590" max="10590" width="3.7109375" customWidth="1"/>
    <col min="10594" max="10594" width="3.7109375" customWidth="1"/>
    <col min="10598" max="10598" width="3.7109375" customWidth="1"/>
    <col min="10602" max="10602" width="3.7109375" customWidth="1"/>
    <col min="10606" max="10606" width="3.7109375" customWidth="1"/>
    <col min="10610" max="10610" width="3.7109375" customWidth="1"/>
    <col min="10614" max="10614" width="3.7109375" customWidth="1"/>
    <col min="10618" max="10618" width="3.7109375" customWidth="1"/>
    <col min="10622" max="10622" width="3.7109375" customWidth="1"/>
    <col min="10626" max="10626" width="3.7109375" customWidth="1"/>
    <col min="10793" max="10793" width="9.7109375" customWidth="1"/>
    <col min="10794" max="10794" width="3.7109375" customWidth="1"/>
    <col min="10806" max="10806" width="3.7109375" customWidth="1"/>
    <col min="10810" max="10810" width="3.7109375" customWidth="1"/>
    <col min="10814" max="10814" width="3.7109375" customWidth="1"/>
    <col min="10818" max="10818" width="3.7109375" customWidth="1"/>
    <col min="10822" max="10822" width="3.7109375" customWidth="1"/>
    <col min="10826" max="10826" width="3.7109375" customWidth="1"/>
    <col min="10830" max="10830" width="3.7109375" customWidth="1"/>
    <col min="10834" max="10834" width="3.7109375" customWidth="1"/>
    <col min="10838" max="10838" width="3.7109375" customWidth="1"/>
    <col min="10842" max="10842" width="3.7109375" customWidth="1"/>
    <col min="10846" max="10846" width="3.7109375" customWidth="1"/>
    <col min="10850" max="10850" width="3.7109375" customWidth="1"/>
    <col min="10854" max="10854" width="3.7109375" customWidth="1"/>
    <col min="10858" max="10858" width="3.7109375" customWidth="1"/>
    <col min="10862" max="10862" width="3.7109375" customWidth="1"/>
    <col min="10866" max="10866" width="3.7109375" customWidth="1"/>
    <col min="10870" max="10870" width="3.7109375" customWidth="1"/>
    <col min="10874" max="10874" width="3.7109375" customWidth="1"/>
    <col min="10878" max="10878" width="3.7109375" customWidth="1"/>
    <col min="10882" max="10882" width="3.7109375" customWidth="1"/>
    <col min="11049" max="11049" width="9.7109375" customWidth="1"/>
    <col min="11050" max="11050" width="3.7109375" customWidth="1"/>
    <col min="11062" max="11062" width="3.7109375" customWidth="1"/>
    <col min="11066" max="11066" width="3.7109375" customWidth="1"/>
    <col min="11070" max="11070" width="3.7109375" customWidth="1"/>
    <col min="11074" max="11074" width="3.7109375" customWidth="1"/>
    <col min="11078" max="11078" width="3.7109375" customWidth="1"/>
    <col min="11082" max="11082" width="3.7109375" customWidth="1"/>
    <col min="11086" max="11086" width="3.7109375" customWidth="1"/>
    <col min="11090" max="11090" width="3.7109375" customWidth="1"/>
    <col min="11094" max="11094" width="3.7109375" customWidth="1"/>
    <col min="11098" max="11098" width="3.7109375" customWidth="1"/>
    <col min="11102" max="11102" width="3.7109375" customWidth="1"/>
    <col min="11106" max="11106" width="3.7109375" customWidth="1"/>
    <col min="11110" max="11110" width="3.7109375" customWidth="1"/>
    <col min="11114" max="11114" width="3.7109375" customWidth="1"/>
    <col min="11118" max="11118" width="3.7109375" customWidth="1"/>
    <col min="11122" max="11122" width="3.7109375" customWidth="1"/>
    <col min="11126" max="11126" width="3.7109375" customWidth="1"/>
    <col min="11130" max="11130" width="3.7109375" customWidth="1"/>
    <col min="11134" max="11134" width="3.7109375" customWidth="1"/>
    <col min="11138" max="11138" width="3.7109375" customWidth="1"/>
    <col min="11305" max="11305" width="9.7109375" customWidth="1"/>
    <col min="11306" max="11306" width="3.7109375" customWidth="1"/>
    <col min="11318" max="11318" width="3.7109375" customWidth="1"/>
    <col min="11322" max="11322" width="3.7109375" customWidth="1"/>
    <col min="11326" max="11326" width="3.7109375" customWidth="1"/>
    <col min="11330" max="11330" width="3.7109375" customWidth="1"/>
    <col min="11334" max="11334" width="3.7109375" customWidth="1"/>
    <col min="11338" max="11338" width="3.7109375" customWidth="1"/>
    <col min="11342" max="11342" width="3.7109375" customWidth="1"/>
    <col min="11346" max="11346" width="3.7109375" customWidth="1"/>
    <col min="11350" max="11350" width="3.7109375" customWidth="1"/>
    <col min="11354" max="11354" width="3.7109375" customWidth="1"/>
    <col min="11358" max="11358" width="3.7109375" customWidth="1"/>
    <col min="11362" max="11362" width="3.7109375" customWidth="1"/>
    <col min="11366" max="11366" width="3.7109375" customWidth="1"/>
    <col min="11370" max="11370" width="3.7109375" customWidth="1"/>
    <col min="11374" max="11374" width="3.7109375" customWidth="1"/>
    <col min="11378" max="11378" width="3.7109375" customWidth="1"/>
    <col min="11382" max="11382" width="3.7109375" customWidth="1"/>
    <col min="11386" max="11386" width="3.7109375" customWidth="1"/>
    <col min="11390" max="11390" width="3.7109375" customWidth="1"/>
    <col min="11394" max="11394" width="3.7109375" customWidth="1"/>
    <col min="11561" max="11561" width="9.7109375" customWidth="1"/>
    <col min="11562" max="11562" width="3.7109375" customWidth="1"/>
    <col min="11574" max="11574" width="3.7109375" customWidth="1"/>
    <col min="11578" max="11578" width="3.7109375" customWidth="1"/>
    <col min="11582" max="11582" width="3.7109375" customWidth="1"/>
    <col min="11586" max="11586" width="3.7109375" customWidth="1"/>
    <col min="11590" max="11590" width="3.7109375" customWidth="1"/>
    <col min="11594" max="11594" width="3.7109375" customWidth="1"/>
    <col min="11598" max="11598" width="3.7109375" customWidth="1"/>
    <col min="11602" max="11602" width="3.7109375" customWidth="1"/>
    <col min="11606" max="11606" width="3.7109375" customWidth="1"/>
    <col min="11610" max="11610" width="3.7109375" customWidth="1"/>
    <col min="11614" max="11614" width="3.7109375" customWidth="1"/>
    <col min="11618" max="11618" width="3.7109375" customWidth="1"/>
    <col min="11622" max="11622" width="3.7109375" customWidth="1"/>
    <col min="11626" max="11626" width="3.7109375" customWidth="1"/>
    <col min="11630" max="11630" width="3.7109375" customWidth="1"/>
    <col min="11634" max="11634" width="3.7109375" customWidth="1"/>
    <col min="11638" max="11638" width="3.7109375" customWidth="1"/>
    <col min="11642" max="11642" width="3.7109375" customWidth="1"/>
    <col min="11646" max="11646" width="3.7109375" customWidth="1"/>
    <col min="11650" max="11650" width="3.7109375" customWidth="1"/>
    <col min="11817" max="11817" width="9.7109375" customWidth="1"/>
    <col min="11818" max="11818" width="3.7109375" customWidth="1"/>
    <col min="11830" max="11830" width="3.7109375" customWidth="1"/>
    <col min="11834" max="11834" width="3.7109375" customWidth="1"/>
    <col min="11838" max="11838" width="3.7109375" customWidth="1"/>
    <col min="11842" max="11842" width="3.7109375" customWidth="1"/>
    <col min="11846" max="11846" width="3.7109375" customWidth="1"/>
    <col min="11850" max="11850" width="3.7109375" customWidth="1"/>
    <col min="11854" max="11854" width="3.7109375" customWidth="1"/>
    <col min="11858" max="11858" width="3.7109375" customWidth="1"/>
    <col min="11862" max="11862" width="3.7109375" customWidth="1"/>
    <col min="11866" max="11866" width="3.7109375" customWidth="1"/>
    <col min="11870" max="11870" width="3.7109375" customWidth="1"/>
    <col min="11874" max="11874" width="3.7109375" customWidth="1"/>
    <col min="11878" max="11878" width="3.7109375" customWidth="1"/>
    <col min="11882" max="11882" width="3.7109375" customWidth="1"/>
    <col min="11886" max="11886" width="3.7109375" customWidth="1"/>
    <col min="11890" max="11890" width="3.7109375" customWidth="1"/>
    <col min="11894" max="11894" width="3.7109375" customWidth="1"/>
    <col min="11898" max="11898" width="3.7109375" customWidth="1"/>
    <col min="11902" max="11902" width="3.7109375" customWidth="1"/>
    <col min="11906" max="11906" width="3.7109375" customWidth="1"/>
    <col min="12073" max="12073" width="9.7109375" customWidth="1"/>
    <col min="12074" max="12074" width="3.7109375" customWidth="1"/>
    <col min="12086" max="12086" width="3.7109375" customWidth="1"/>
    <col min="12090" max="12090" width="3.7109375" customWidth="1"/>
    <col min="12094" max="12094" width="3.7109375" customWidth="1"/>
    <col min="12098" max="12098" width="3.7109375" customWidth="1"/>
    <col min="12102" max="12102" width="3.7109375" customWidth="1"/>
    <col min="12106" max="12106" width="3.7109375" customWidth="1"/>
    <col min="12110" max="12110" width="3.7109375" customWidth="1"/>
    <col min="12114" max="12114" width="3.7109375" customWidth="1"/>
    <col min="12118" max="12118" width="3.7109375" customWidth="1"/>
    <col min="12122" max="12122" width="3.7109375" customWidth="1"/>
    <col min="12126" max="12126" width="3.7109375" customWidth="1"/>
    <col min="12130" max="12130" width="3.7109375" customWidth="1"/>
    <col min="12134" max="12134" width="3.7109375" customWidth="1"/>
    <col min="12138" max="12138" width="3.7109375" customWidth="1"/>
    <col min="12142" max="12142" width="3.7109375" customWidth="1"/>
    <col min="12146" max="12146" width="3.7109375" customWidth="1"/>
    <col min="12150" max="12150" width="3.7109375" customWidth="1"/>
    <col min="12154" max="12154" width="3.7109375" customWidth="1"/>
    <col min="12158" max="12158" width="3.7109375" customWidth="1"/>
    <col min="12162" max="12162" width="3.7109375" customWidth="1"/>
    <col min="12329" max="12329" width="9.7109375" customWidth="1"/>
    <col min="12330" max="12330" width="3.7109375" customWidth="1"/>
    <col min="12342" max="12342" width="3.7109375" customWidth="1"/>
    <col min="12346" max="12346" width="3.7109375" customWidth="1"/>
    <col min="12350" max="12350" width="3.7109375" customWidth="1"/>
    <col min="12354" max="12354" width="3.7109375" customWidth="1"/>
    <col min="12358" max="12358" width="3.7109375" customWidth="1"/>
    <col min="12362" max="12362" width="3.7109375" customWidth="1"/>
    <col min="12366" max="12366" width="3.7109375" customWidth="1"/>
    <col min="12370" max="12370" width="3.7109375" customWidth="1"/>
    <col min="12374" max="12374" width="3.7109375" customWidth="1"/>
    <col min="12378" max="12378" width="3.7109375" customWidth="1"/>
    <col min="12382" max="12382" width="3.7109375" customWidth="1"/>
    <col min="12386" max="12386" width="3.7109375" customWidth="1"/>
    <col min="12390" max="12390" width="3.7109375" customWidth="1"/>
    <col min="12394" max="12394" width="3.7109375" customWidth="1"/>
    <col min="12398" max="12398" width="3.7109375" customWidth="1"/>
    <col min="12402" max="12402" width="3.7109375" customWidth="1"/>
    <col min="12406" max="12406" width="3.7109375" customWidth="1"/>
    <col min="12410" max="12410" width="3.7109375" customWidth="1"/>
    <col min="12414" max="12414" width="3.7109375" customWidth="1"/>
    <col min="12418" max="12418" width="3.7109375" customWidth="1"/>
    <col min="12585" max="12585" width="9.7109375" customWidth="1"/>
    <col min="12586" max="12586" width="3.7109375" customWidth="1"/>
    <col min="12598" max="12598" width="3.7109375" customWidth="1"/>
    <col min="12602" max="12602" width="3.7109375" customWidth="1"/>
    <col min="12606" max="12606" width="3.7109375" customWidth="1"/>
    <col min="12610" max="12610" width="3.7109375" customWidth="1"/>
    <col min="12614" max="12614" width="3.7109375" customWidth="1"/>
    <col min="12618" max="12618" width="3.7109375" customWidth="1"/>
    <col min="12622" max="12622" width="3.7109375" customWidth="1"/>
    <col min="12626" max="12626" width="3.7109375" customWidth="1"/>
    <col min="12630" max="12630" width="3.7109375" customWidth="1"/>
    <col min="12634" max="12634" width="3.7109375" customWidth="1"/>
    <col min="12638" max="12638" width="3.7109375" customWidth="1"/>
    <col min="12642" max="12642" width="3.7109375" customWidth="1"/>
    <col min="12646" max="12646" width="3.7109375" customWidth="1"/>
    <col min="12650" max="12650" width="3.7109375" customWidth="1"/>
    <col min="12654" max="12654" width="3.7109375" customWidth="1"/>
    <col min="12658" max="12658" width="3.7109375" customWidth="1"/>
    <col min="12662" max="12662" width="3.7109375" customWidth="1"/>
    <col min="12666" max="12666" width="3.7109375" customWidth="1"/>
    <col min="12670" max="12670" width="3.7109375" customWidth="1"/>
    <col min="12674" max="12674" width="3.7109375" customWidth="1"/>
    <col min="12841" max="12841" width="9.7109375" customWidth="1"/>
    <col min="12842" max="12842" width="3.7109375" customWidth="1"/>
    <col min="12854" max="12854" width="3.7109375" customWidth="1"/>
    <col min="12858" max="12858" width="3.7109375" customWidth="1"/>
    <col min="12862" max="12862" width="3.7109375" customWidth="1"/>
    <col min="12866" max="12866" width="3.7109375" customWidth="1"/>
    <col min="12870" max="12870" width="3.7109375" customWidth="1"/>
    <col min="12874" max="12874" width="3.7109375" customWidth="1"/>
    <col min="12878" max="12878" width="3.7109375" customWidth="1"/>
    <col min="12882" max="12882" width="3.7109375" customWidth="1"/>
    <col min="12886" max="12886" width="3.7109375" customWidth="1"/>
    <col min="12890" max="12890" width="3.7109375" customWidth="1"/>
    <col min="12894" max="12894" width="3.7109375" customWidth="1"/>
    <col min="12898" max="12898" width="3.7109375" customWidth="1"/>
    <col min="12902" max="12902" width="3.7109375" customWidth="1"/>
    <col min="12906" max="12906" width="3.7109375" customWidth="1"/>
    <col min="12910" max="12910" width="3.7109375" customWidth="1"/>
    <col min="12914" max="12914" width="3.7109375" customWidth="1"/>
    <col min="12918" max="12918" width="3.7109375" customWidth="1"/>
    <col min="12922" max="12922" width="3.7109375" customWidth="1"/>
    <col min="12926" max="12926" width="3.7109375" customWidth="1"/>
    <col min="12930" max="12930" width="3.7109375" customWidth="1"/>
    <col min="13097" max="13097" width="9.7109375" customWidth="1"/>
    <col min="13098" max="13098" width="3.7109375" customWidth="1"/>
    <col min="13110" max="13110" width="3.7109375" customWidth="1"/>
    <col min="13114" max="13114" width="3.7109375" customWidth="1"/>
    <col min="13118" max="13118" width="3.7109375" customWidth="1"/>
    <col min="13122" max="13122" width="3.7109375" customWidth="1"/>
    <col min="13126" max="13126" width="3.7109375" customWidth="1"/>
    <col min="13130" max="13130" width="3.7109375" customWidth="1"/>
    <col min="13134" max="13134" width="3.7109375" customWidth="1"/>
    <col min="13138" max="13138" width="3.7109375" customWidth="1"/>
    <col min="13142" max="13142" width="3.7109375" customWidth="1"/>
    <col min="13146" max="13146" width="3.7109375" customWidth="1"/>
    <col min="13150" max="13150" width="3.7109375" customWidth="1"/>
    <col min="13154" max="13154" width="3.7109375" customWidth="1"/>
    <col min="13158" max="13158" width="3.7109375" customWidth="1"/>
    <col min="13162" max="13162" width="3.7109375" customWidth="1"/>
    <col min="13166" max="13166" width="3.7109375" customWidth="1"/>
    <col min="13170" max="13170" width="3.7109375" customWidth="1"/>
    <col min="13174" max="13174" width="3.7109375" customWidth="1"/>
    <col min="13178" max="13178" width="3.7109375" customWidth="1"/>
    <col min="13182" max="13182" width="3.7109375" customWidth="1"/>
    <col min="13186" max="13186" width="3.7109375" customWidth="1"/>
    <col min="13353" max="13353" width="9.7109375" customWidth="1"/>
    <col min="13354" max="13354" width="3.7109375" customWidth="1"/>
    <col min="13366" max="13366" width="3.7109375" customWidth="1"/>
    <col min="13370" max="13370" width="3.7109375" customWidth="1"/>
    <col min="13374" max="13374" width="3.7109375" customWidth="1"/>
    <col min="13378" max="13378" width="3.7109375" customWidth="1"/>
    <col min="13382" max="13382" width="3.7109375" customWidth="1"/>
    <col min="13386" max="13386" width="3.7109375" customWidth="1"/>
    <col min="13390" max="13390" width="3.7109375" customWidth="1"/>
    <col min="13394" max="13394" width="3.7109375" customWidth="1"/>
    <col min="13398" max="13398" width="3.7109375" customWidth="1"/>
    <col min="13402" max="13402" width="3.7109375" customWidth="1"/>
    <col min="13406" max="13406" width="3.7109375" customWidth="1"/>
    <col min="13410" max="13410" width="3.7109375" customWidth="1"/>
    <col min="13414" max="13414" width="3.7109375" customWidth="1"/>
    <col min="13418" max="13418" width="3.7109375" customWidth="1"/>
    <col min="13422" max="13422" width="3.7109375" customWidth="1"/>
    <col min="13426" max="13426" width="3.7109375" customWidth="1"/>
    <col min="13430" max="13430" width="3.7109375" customWidth="1"/>
    <col min="13434" max="13434" width="3.7109375" customWidth="1"/>
    <col min="13438" max="13438" width="3.7109375" customWidth="1"/>
    <col min="13442" max="13442" width="3.7109375" customWidth="1"/>
    <col min="13609" max="13609" width="9.7109375" customWidth="1"/>
    <col min="13610" max="13610" width="3.7109375" customWidth="1"/>
    <col min="13622" max="13622" width="3.7109375" customWidth="1"/>
    <col min="13626" max="13626" width="3.7109375" customWidth="1"/>
    <col min="13630" max="13630" width="3.7109375" customWidth="1"/>
    <col min="13634" max="13634" width="3.7109375" customWidth="1"/>
    <col min="13638" max="13638" width="3.7109375" customWidth="1"/>
    <col min="13642" max="13642" width="3.7109375" customWidth="1"/>
    <col min="13646" max="13646" width="3.7109375" customWidth="1"/>
    <col min="13650" max="13650" width="3.7109375" customWidth="1"/>
    <col min="13654" max="13654" width="3.7109375" customWidth="1"/>
    <col min="13658" max="13658" width="3.7109375" customWidth="1"/>
    <col min="13662" max="13662" width="3.7109375" customWidth="1"/>
    <col min="13666" max="13666" width="3.7109375" customWidth="1"/>
    <col min="13670" max="13670" width="3.7109375" customWidth="1"/>
    <col min="13674" max="13674" width="3.7109375" customWidth="1"/>
    <col min="13678" max="13678" width="3.7109375" customWidth="1"/>
    <col min="13682" max="13682" width="3.7109375" customWidth="1"/>
    <col min="13686" max="13686" width="3.7109375" customWidth="1"/>
    <col min="13690" max="13690" width="3.7109375" customWidth="1"/>
    <col min="13694" max="13694" width="3.7109375" customWidth="1"/>
    <col min="13698" max="13698" width="3.7109375" customWidth="1"/>
    <col min="13865" max="13865" width="9.7109375" customWidth="1"/>
    <col min="13866" max="13866" width="3.7109375" customWidth="1"/>
    <col min="13878" max="13878" width="3.7109375" customWidth="1"/>
    <col min="13882" max="13882" width="3.7109375" customWidth="1"/>
    <col min="13886" max="13886" width="3.7109375" customWidth="1"/>
    <col min="13890" max="13890" width="3.7109375" customWidth="1"/>
    <col min="13894" max="13894" width="3.7109375" customWidth="1"/>
    <col min="13898" max="13898" width="3.7109375" customWidth="1"/>
    <col min="13902" max="13902" width="3.7109375" customWidth="1"/>
    <col min="13906" max="13906" width="3.7109375" customWidth="1"/>
    <col min="13910" max="13910" width="3.7109375" customWidth="1"/>
    <col min="13914" max="13914" width="3.7109375" customWidth="1"/>
    <col min="13918" max="13918" width="3.7109375" customWidth="1"/>
    <col min="13922" max="13922" width="3.7109375" customWidth="1"/>
    <col min="13926" max="13926" width="3.7109375" customWidth="1"/>
    <col min="13930" max="13930" width="3.7109375" customWidth="1"/>
    <col min="13934" max="13934" width="3.7109375" customWidth="1"/>
    <col min="13938" max="13938" width="3.7109375" customWidth="1"/>
    <col min="13942" max="13942" width="3.7109375" customWidth="1"/>
    <col min="13946" max="13946" width="3.7109375" customWidth="1"/>
    <col min="13950" max="13950" width="3.7109375" customWidth="1"/>
    <col min="13954" max="13954" width="3.7109375" customWidth="1"/>
    <col min="14121" max="14121" width="9.7109375" customWidth="1"/>
    <col min="14122" max="14122" width="3.7109375" customWidth="1"/>
    <col min="14134" max="14134" width="3.7109375" customWidth="1"/>
    <col min="14138" max="14138" width="3.7109375" customWidth="1"/>
    <col min="14142" max="14142" width="3.7109375" customWidth="1"/>
    <col min="14146" max="14146" width="3.7109375" customWidth="1"/>
    <col min="14150" max="14150" width="3.7109375" customWidth="1"/>
    <col min="14154" max="14154" width="3.7109375" customWidth="1"/>
    <col min="14158" max="14158" width="3.7109375" customWidth="1"/>
    <col min="14162" max="14162" width="3.7109375" customWidth="1"/>
    <col min="14166" max="14166" width="3.7109375" customWidth="1"/>
    <col min="14170" max="14170" width="3.7109375" customWidth="1"/>
    <col min="14174" max="14174" width="3.7109375" customWidth="1"/>
    <col min="14178" max="14178" width="3.7109375" customWidth="1"/>
    <col min="14182" max="14182" width="3.7109375" customWidth="1"/>
    <col min="14186" max="14186" width="3.7109375" customWidth="1"/>
    <col min="14190" max="14190" width="3.7109375" customWidth="1"/>
    <col min="14194" max="14194" width="3.7109375" customWidth="1"/>
    <col min="14198" max="14198" width="3.7109375" customWidth="1"/>
    <col min="14202" max="14202" width="3.7109375" customWidth="1"/>
    <col min="14206" max="14206" width="3.7109375" customWidth="1"/>
    <col min="14210" max="14210" width="3.7109375" customWidth="1"/>
    <col min="14377" max="14377" width="9.7109375" customWidth="1"/>
    <col min="14378" max="14378" width="3.7109375" customWidth="1"/>
    <col min="14390" max="14390" width="3.7109375" customWidth="1"/>
    <col min="14394" max="14394" width="3.7109375" customWidth="1"/>
    <col min="14398" max="14398" width="3.7109375" customWidth="1"/>
    <col min="14402" max="14402" width="3.7109375" customWidth="1"/>
    <col min="14406" max="14406" width="3.7109375" customWidth="1"/>
    <col min="14410" max="14410" width="3.7109375" customWidth="1"/>
    <col min="14414" max="14414" width="3.7109375" customWidth="1"/>
    <col min="14418" max="14418" width="3.7109375" customWidth="1"/>
    <col min="14422" max="14422" width="3.7109375" customWidth="1"/>
    <col min="14426" max="14426" width="3.7109375" customWidth="1"/>
    <col min="14430" max="14430" width="3.7109375" customWidth="1"/>
    <col min="14434" max="14434" width="3.7109375" customWidth="1"/>
    <col min="14438" max="14438" width="3.7109375" customWidth="1"/>
    <col min="14442" max="14442" width="3.7109375" customWidth="1"/>
    <col min="14446" max="14446" width="3.7109375" customWidth="1"/>
    <col min="14450" max="14450" width="3.7109375" customWidth="1"/>
    <col min="14454" max="14454" width="3.7109375" customWidth="1"/>
    <col min="14458" max="14458" width="3.7109375" customWidth="1"/>
    <col min="14462" max="14462" width="3.7109375" customWidth="1"/>
    <col min="14466" max="14466" width="3.7109375" customWidth="1"/>
    <col min="14633" max="14633" width="9.7109375" customWidth="1"/>
    <col min="14634" max="14634" width="3.7109375" customWidth="1"/>
    <col min="14646" max="14646" width="3.7109375" customWidth="1"/>
    <col min="14650" max="14650" width="3.7109375" customWidth="1"/>
    <col min="14654" max="14654" width="3.7109375" customWidth="1"/>
    <col min="14658" max="14658" width="3.7109375" customWidth="1"/>
    <col min="14662" max="14662" width="3.7109375" customWidth="1"/>
    <col min="14666" max="14666" width="3.7109375" customWidth="1"/>
    <col min="14670" max="14670" width="3.7109375" customWidth="1"/>
    <col min="14674" max="14674" width="3.7109375" customWidth="1"/>
    <col min="14678" max="14678" width="3.7109375" customWidth="1"/>
    <col min="14682" max="14682" width="3.7109375" customWidth="1"/>
    <col min="14686" max="14686" width="3.7109375" customWidth="1"/>
    <col min="14690" max="14690" width="3.7109375" customWidth="1"/>
    <col min="14694" max="14694" width="3.7109375" customWidth="1"/>
    <col min="14698" max="14698" width="3.7109375" customWidth="1"/>
    <col min="14702" max="14702" width="3.7109375" customWidth="1"/>
    <col min="14706" max="14706" width="3.7109375" customWidth="1"/>
    <col min="14710" max="14710" width="3.7109375" customWidth="1"/>
    <col min="14714" max="14714" width="3.7109375" customWidth="1"/>
    <col min="14718" max="14718" width="3.7109375" customWidth="1"/>
    <col min="14722" max="14722" width="3.7109375" customWidth="1"/>
    <col min="14889" max="14889" width="9.7109375" customWidth="1"/>
    <col min="14890" max="14890" width="3.7109375" customWidth="1"/>
    <col min="14902" max="14902" width="3.7109375" customWidth="1"/>
    <col min="14906" max="14906" width="3.7109375" customWidth="1"/>
    <col min="14910" max="14910" width="3.7109375" customWidth="1"/>
    <col min="14914" max="14914" width="3.7109375" customWidth="1"/>
    <col min="14918" max="14918" width="3.7109375" customWidth="1"/>
    <col min="14922" max="14922" width="3.7109375" customWidth="1"/>
    <col min="14926" max="14926" width="3.7109375" customWidth="1"/>
    <col min="14930" max="14930" width="3.7109375" customWidth="1"/>
    <col min="14934" max="14934" width="3.7109375" customWidth="1"/>
    <col min="14938" max="14938" width="3.7109375" customWidth="1"/>
    <col min="14942" max="14942" width="3.7109375" customWidth="1"/>
    <col min="14946" max="14946" width="3.7109375" customWidth="1"/>
    <col min="14950" max="14950" width="3.7109375" customWidth="1"/>
    <col min="14954" max="14954" width="3.7109375" customWidth="1"/>
    <col min="14958" max="14958" width="3.7109375" customWidth="1"/>
    <col min="14962" max="14962" width="3.7109375" customWidth="1"/>
    <col min="14966" max="14966" width="3.7109375" customWidth="1"/>
    <col min="14970" max="14970" width="3.7109375" customWidth="1"/>
    <col min="14974" max="14974" width="3.7109375" customWidth="1"/>
    <col min="14978" max="14978" width="3.7109375" customWidth="1"/>
    <col min="15145" max="15145" width="9.7109375" customWidth="1"/>
    <col min="15146" max="15146" width="3.7109375" customWidth="1"/>
    <col min="15158" max="15158" width="3.7109375" customWidth="1"/>
    <col min="15162" max="15162" width="3.7109375" customWidth="1"/>
    <col min="15166" max="15166" width="3.7109375" customWidth="1"/>
    <col min="15170" max="15170" width="3.7109375" customWidth="1"/>
    <col min="15174" max="15174" width="3.7109375" customWidth="1"/>
    <col min="15178" max="15178" width="3.7109375" customWidth="1"/>
    <col min="15182" max="15182" width="3.7109375" customWidth="1"/>
    <col min="15186" max="15186" width="3.7109375" customWidth="1"/>
    <col min="15190" max="15190" width="3.7109375" customWidth="1"/>
    <col min="15194" max="15194" width="3.7109375" customWidth="1"/>
    <col min="15198" max="15198" width="3.7109375" customWidth="1"/>
    <col min="15202" max="15202" width="3.7109375" customWidth="1"/>
    <col min="15206" max="15206" width="3.7109375" customWidth="1"/>
    <col min="15210" max="15210" width="3.7109375" customWidth="1"/>
    <col min="15214" max="15214" width="3.7109375" customWidth="1"/>
    <col min="15218" max="15218" width="3.7109375" customWidth="1"/>
    <col min="15222" max="15222" width="3.7109375" customWidth="1"/>
    <col min="15226" max="15226" width="3.7109375" customWidth="1"/>
    <col min="15230" max="15230" width="3.7109375" customWidth="1"/>
    <col min="15234" max="15234" width="3.7109375" customWidth="1"/>
    <col min="15401" max="15401" width="9.7109375" customWidth="1"/>
    <col min="15402" max="15402" width="3.7109375" customWidth="1"/>
    <col min="15414" max="15414" width="3.7109375" customWidth="1"/>
    <col min="15418" max="15418" width="3.7109375" customWidth="1"/>
    <col min="15422" max="15422" width="3.7109375" customWidth="1"/>
    <col min="15426" max="15426" width="3.7109375" customWidth="1"/>
    <col min="15430" max="15430" width="3.7109375" customWidth="1"/>
    <col min="15434" max="15434" width="3.7109375" customWidth="1"/>
    <col min="15438" max="15438" width="3.7109375" customWidth="1"/>
    <col min="15442" max="15442" width="3.7109375" customWidth="1"/>
    <col min="15446" max="15446" width="3.7109375" customWidth="1"/>
    <col min="15450" max="15450" width="3.7109375" customWidth="1"/>
    <col min="15454" max="15454" width="3.7109375" customWidth="1"/>
    <col min="15458" max="15458" width="3.7109375" customWidth="1"/>
    <col min="15462" max="15462" width="3.7109375" customWidth="1"/>
    <col min="15466" max="15466" width="3.7109375" customWidth="1"/>
    <col min="15470" max="15470" width="3.7109375" customWidth="1"/>
    <col min="15474" max="15474" width="3.7109375" customWidth="1"/>
    <col min="15478" max="15478" width="3.7109375" customWidth="1"/>
    <col min="15482" max="15482" width="3.7109375" customWidth="1"/>
    <col min="15486" max="15486" width="3.7109375" customWidth="1"/>
    <col min="15490" max="15490" width="3.7109375" customWidth="1"/>
    <col min="15657" max="15657" width="9.7109375" customWidth="1"/>
    <col min="15658" max="15658" width="3.7109375" customWidth="1"/>
    <col min="15670" max="15670" width="3.7109375" customWidth="1"/>
    <col min="15674" max="15674" width="3.7109375" customWidth="1"/>
    <col min="15678" max="15678" width="3.7109375" customWidth="1"/>
    <col min="15682" max="15682" width="3.7109375" customWidth="1"/>
    <col min="15686" max="15686" width="3.7109375" customWidth="1"/>
    <col min="15690" max="15690" width="3.7109375" customWidth="1"/>
    <col min="15694" max="15694" width="3.7109375" customWidth="1"/>
    <col min="15698" max="15698" width="3.7109375" customWidth="1"/>
    <col min="15702" max="15702" width="3.7109375" customWidth="1"/>
    <col min="15706" max="15706" width="3.7109375" customWidth="1"/>
    <col min="15710" max="15710" width="3.7109375" customWidth="1"/>
    <col min="15714" max="15714" width="3.7109375" customWidth="1"/>
    <col min="15718" max="15718" width="3.7109375" customWidth="1"/>
    <col min="15722" max="15722" width="3.7109375" customWidth="1"/>
    <col min="15726" max="15726" width="3.7109375" customWidth="1"/>
    <col min="15730" max="15730" width="3.7109375" customWidth="1"/>
    <col min="15734" max="15734" width="3.7109375" customWidth="1"/>
    <col min="15738" max="15738" width="3.7109375" customWidth="1"/>
    <col min="15742" max="15742" width="3.7109375" customWidth="1"/>
    <col min="15746" max="15746" width="3.7109375" customWidth="1"/>
    <col min="15913" max="15913" width="9.7109375" customWidth="1"/>
    <col min="15914" max="15914" width="3.7109375" customWidth="1"/>
    <col min="15926" max="15926" width="3.7109375" customWidth="1"/>
    <col min="15930" max="15930" width="3.7109375" customWidth="1"/>
    <col min="15934" max="15934" width="3.7109375" customWidth="1"/>
    <col min="15938" max="15938" width="3.7109375" customWidth="1"/>
    <col min="15942" max="15942" width="3.7109375" customWidth="1"/>
    <col min="15946" max="15946" width="3.7109375" customWidth="1"/>
    <col min="15950" max="15950" width="3.7109375" customWidth="1"/>
    <col min="15954" max="15954" width="3.7109375" customWidth="1"/>
    <col min="15958" max="15958" width="3.7109375" customWidth="1"/>
    <col min="15962" max="15962" width="3.7109375" customWidth="1"/>
    <col min="15966" max="15966" width="3.7109375" customWidth="1"/>
    <col min="15970" max="15970" width="3.7109375" customWidth="1"/>
    <col min="15974" max="15974" width="3.7109375" customWidth="1"/>
    <col min="15978" max="15978" width="3.7109375" customWidth="1"/>
    <col min="15982" max="15982" width="3.7109375" customWidth="1"/>
    <col min="15986" max="15986" width="3.7109375" customWidth="1"/>
    <col min="15990" max="15990" width="3.7109375" customWidth="1"/>
    <col min="15994" max="15994" width="3.7109375" customWidth="1"/>
    <col min="15998" max="15998" width="3.7109375" customWidth="1"/>
    <col min="16002" max="16002" width="3.7109375" customWidth="1"/>
    <col min="16169" max="16169" width="9.7109375" customWidth="1"/>
    <col min="16170" max="16170" width="3.7109375" customWidth="1"/>
    <col min="16182" max="16182" width="3.7109375" customWidth="1"/>
    <col min="16186" max="16186" width="3.7109375" customWidth="1"/>
    <col min="16190" max="16190" width="3.7109375" customWidth="1"/>
    <col min="16194" max="16194" width="3.7109375" customWidth="1"/>
    <col min="16198" max="16198" width="3.7109375" customWidth="1"/>
    <col min="16202" max="16202" width="3.7109375" customWidth="1"/>
    <col min="16206" max="16206" width="3.7109375" customWidth="1"/>
    <col min="16210" max="16210" width="3.7109375" customWidth="1"/>
    <col min="16214" max="16214" width="3.7109375" customWidth="1"/>
    <col min="16218" max="16218" width="3.7109375" customWidth="1"/>
    <col min="16222" max="16222" width="3.7109375" customWidth="1"/>
    <col min="16226" max="16226" width="3.7109375" customWidth="1"/>
    <col min="16230" max="16230" width="3.7109375" customWidth="1"/>
    <col min="16234" max="16234" width="3.7109375" customWidth="1"/>
    <col min="16238" max="16238" width="3.7109375" customWidth="1"/>
    <col min="16242" max="16242" width="3.7109375" customWidth="1"/>
    <col min="16246" max="16246" width="3.7109375" customWidth="1"/>
    <col min="16250" max="16250" width="3.7109375" customWidth="1"/>
    <col min="16254" max="16254" width="3.7109375" customWidth="1"/>
    <col min="16258" max="16258" width="3.7109375" customWidth="1"/>
  </cols>
  <sheetData>
    <row r="1" spans="1:139" ht="12" customHeight="1" x14ac:dyDescent="0.2">
      <c r="A1" s="1"/>
      <c r="B1" s="2"/>
      <c r="D1" s="4"/>
      <c r="E1" s="4"/>
      <c r="F1" s="5"/>
      <c r="G1" s="5"/>
      <c r="H1" s="5"/>
      <c r="I1" s="4" t="s">
        <v>28</v>
      </c>
      <c r="J1" s="4"/>
      <c r="K1" s="4"/>
      <c r="L1" s="4"/>
      <c r="M1" s="4"/>
      <c r="N1" s="4"/>
      <c r="O1" s="4"/>
      <c r="P1" s="4"/>
      <c r="AA1" s="4" t="s">
        <v>28</v>
      </c>
      <c r="AB1" s="4"/>
      <c r="AS1" s="4"/>
      <c r="AU1" s="4" t="s">
        <v>28</v>
      </c>
      <c r="AV1" s="4"/>
      <c r="BM1" s="4"/>
      <c r="BO1" s="4" t="s">
        <v>28</v>
      </c>
      <c r="BP1" s="4"/>
      <c r="BR1" s="4"/>
      <c r="CI1" s="4" t="s">
        <v>28</v>
      </c>
      <c r="CJ1" s="4"/>
      <c r="CL1" s="4"/>
      <c r="DA1" s="4"/>
      <c r="DC1" s="4" t="s">
        <v>28</v>
      </c>
      <c r="DD1" s="4"/>
      <c r="DO1" s="4"/>
      <c r="DR1" s="4"/>
      <c r="DS1" s="4"/>
      <c r="DW1" s="4" t="s">
        <v>28</v>
      </c>
      <c r="DX1" s="4"/>
      <c r="DY1" s="4"/>
      <c r="DZ1" s="4"/>
    </row>
    <row r="2" spans="1:139" ht="12" customHeight="1" x14ac:dyDescent="0.2">
      <c r="A2" s="1"/>
      <c r="B2" s="2"/>
      <c r="D2" s="4"/>
      <c r="E2" s="4"/>
      <c r="F2" s="5"/>
      <c r="G2" s="5"/>
      <c r="H2" s="5"/>
      <c r="I2" s="4" t="s">
        <v>27</v>
      </c>
      <c r="J2" s="4"/>
      <c r="K2" s="4"/>
      <c r="L2" s="4"/>
      <c r="M2" s="4"/>
      <c r="N2" s="4"/>
      <c r="O2" s="4"/>
      <c r="P2" s="4"/>
      <c r="AA2" s="4" t="s">
        <v>27</v>
      </c>
      <c r="AB2" s="4"/>
      <c r="AS2" s="4"/>
      <c r="AU2" s="4" t="s">
        <v>27</v>
      </c>
      <c r="AV2" s="4"/>
      <c r="BM2" s="4"/>
      <c r="BO2" s="4" t="s">
        <v>27</v>
      </c>
      <c r="BP2" s="4"/>
      <c r="BR2" s="4"/>
      <c r="CI2" s="4" t="s">
        <v>27</v>
      </c>
      <c r="CJ2" s="4"/>
      <c r="CL2" s="4"/>
      <c r="DA2" s="4"/>
      <c r="DC2" s="4" t="s">
        <v>27</v>
      </c>
      <c r="DD2" s="4"/>
      <c r="DO2" s="4"/>
      <c r="DR2" s="4"/>
      <c r="DS2" s="4"/>
      <c r="DW2" s="4" t="s">
        <v>27</v>
      </c>
      <c r="DX2" s="4"/>
      <c r="DY2" s="4"/>
      <c r="DZ2" s="4"/>
    </row>
    <row r="3" spans="1:139" ht="12" customHeight="1" x14ac:dyDescent="0.2">
      <c r="A3" s="1"/>
      <c r="B3" s="2"/>
      <c r="D3" s="7"/>
      <c r="E3" s="7"/>
      <c r="I3" s="61" t="s">
        <v>97</v>
      </c>
      <c r="J3" s="7"/>
      <c r="K3" s="7"/>
      <c r="L3" s="7"/>
      <c r="M3" s="7"/>
      <c r="N3" s="7"/>
      <c r="O3" s="7"/>
      <c r="P3" s="7"/>
      <c r="AA3" s="61" t="s">
        <v>97</v>
      </c>
      <c r="AB3" s="61"/>
      <c r="AO3" s="61"/>
      <c r="AS3" s="4"/>
      <c r="AT3" s="8"/>
      <c r="AU3" s="61" t="s">
        <v>97</v>
      </c>
      <c r="AV3" s="61"/>
      <c r="AX3" s="65"/>
      <c r="BC3" s="65"/>
      <c r="BH3" s="65"/>
      <c r="BM3" s="61"/>
      <c r="BO3" s="61" t="s">
        <v>97</v>
      </c>
      <c r="BP3" s="61"/>
      <c r="BR3" s="61"/>
      <c r="BW3" s="65"/>
      <c r="CI3" s="61" t="s">
        <v>97</v>
      </c>
      <c r="CJ3" s="61"/>
      <c r="CL3" s="61"/>
      <c r="DA3" s="61"/>
      <c r="DC3" s="61" t="s">
        <v>97</v>
      </c>
      <c r="DD3" s="61"/>
      <c r="DO3" s="61"/>
      <c r="DR3" s="61"/>
      <c r="DS3" s="61"/>
      <c r="DW3" s="61" t="s">
        <v>97</v>
      </c>
      <c r="DX3" s="61"/>
      <c r="DY3" s="61"/>
      <c r="DZ3" s="61"/>
    </row>
    <row r="4" spans="1:139" ht="12" customHeight="1" x14ac:dyDescent="0.2">
      <c r="A4" s="1"/>
      <c r="B4" s="2"/>
      <c r="C4" s="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AS4" s="4"/>
      <c r="AT4" s="8"/>
    </row>
    <row r="5" spans="1:139" ht="12" customHeight="1" x14ac:dyDescent="0.2">
      <c r="A5" s="9" t="s">
        <v>0</v>
      </c>
      <c r="C5" s="69" t="s">
        <v>101</v>
      </c>
      <c r="D5" s="70"/>
      <c r="E5" s="10"/>
      <c r="F5" s="10"/>
      <c r="G5" s="10" t="s">
        <v>5</v>
      </c>
      <c r="H5" s="10"/>
      <c r="I5" s="10"/>
      <c r="J5" s="10"/>
      <c r="K5" s="10"/>
      <c r="L5" s="10"/>
      <c r="M5" s="10"/>
      <c r="N5" s="10"/>
      <c r="O5" s="10"/>
      <c r="P5" s="10"/>
      <c r="Q5" s="11"/>
      <c r="R5" s="234"/>
      <c r="T5" s="206" t="s">
        <v>104</v>
      </c>
      <c r="U5" s="207"/>
      <c r="V5" s="208"/>
      <c r="W5" s="236"/>
      <c r="X5" s="3"/>
      <c r="Y5" s="97" t="s">
        <v>108</v>
      </c>
      <c r="Z5" s="73"/>
      <c r="AA5" s="98"/>
      <c r="AB5" s="238"/>
      <c r="AD5" s="92" t="s">
        <v>33</v>
      </c>
      <c r="AE5" s="93"/>
      <c r="AF5" s="94"/>
      <c r="AG5" s="240"/>
      <c r="AI5" s="92" t="s">
        <v>34</v>
      </c>
      <c r="AJ5" s="93"/>
      <c r="AK5" s="94"/>
      <c r="AL5" s="241"/>
      <c r="AM5" s="102"/>
      <c r="AN5" s="176" t="s">
        <v>107</v>
      </c>
      <c r="AO5" s="177"/>
      <c r="AP5" s="175"/>
      <c r="AQ5" s="242"/>
      <c r="AS5" s="173" t="s">
        <v>96</v>
      </c>
      <c r="AT5" s="174"/>
      <c r="AU5" s="175"/>
      <c r="AV5" s="242"/>
      <c r="AX5" s="256" t="s">
        <v>179</v>
      </c>
      <c r="AY5" s="257"/>
      <c r="AZ5" s="258"/>
      <c r="BA5" s="244"/>
      <c r="BB5" s="3"/>
      <c r="BC5" s="184" t="s">
        <v>193</v>
      </c>
      <c r="BD5" s="177"/>
      <c r="BE5" s="175"/>
      <c r="BF5" s="244"/>
      <c r="BG5" s="3"/>
      <c r="BH5" s="184" t="s">
        <v>194</v>
      </c>
      <c r="BI5" s="177"/>
      <c r="BJ5" s="175"/>
      <c r="BK5" s="244"/>
      <c r="BM5" s="198" t="s">
        <v>31</v>
      </c>
      <c r="BN5" s="199"/>
      <c r="BO5" s="200"/>
      <c r="BP5" s="244"/>
      <c r="BR5" s="201" t="s">
        <v>195</v>
      </c>
      <c r="BS5" s="199"/>
      <c r="BT5" s="200"/>
      <c r="BU5" s="244"/>
      <c r="BW5" s="173" t="s">
        <v>180</v>
      </c>
      <c r="BX5" s="177"/>
      <c r="BY5" s="175"/>
      <c r="BZ5" s="244"/>
      <c r="CA5" s="3"/>
      <c r="CB5" s="201" t="s">
        <v>134</v>
      </c>
      <c r="CC5" s="199"/>
      <c r="CD5" s="200"/>
      <c r="CE5" s="244"/>
      <c r="CG5" s="201" t="s">
        <v>153</v>
      </c>
      <c r="CH5" s="199"/>
      <c r="CI5" s="200"/>
      <c r="CJ5" s="244"/>
      <c r="CL5" s="202" t="s">
        <v>30</v>
      </c>
      <c r="CM5" s="199"/>
      <c r="CN5" s="200"/>
      <c r="CO5" s="244"/>
      <c r="CP5" s="6"/>
      <c r="CQ5" s="203" t="s">
        <v>89</v>
      </c>
      <c r="CR5" s="204"/>
      <c r="CS5" s="205"/>
      <c r="CT5" s="244"/>
      <c r="CU5" s="6"/>
      <c r="CV5" s="202" t="s">
        <v>80</v>
      </c>
      <c r="CW5" s="199"/>
      <c r="CX5" s="200"/>
      <c r="CY5" s="244"/>
      <c r="CZ5" s="6"/>
      <c r="DA5" s="198" t="s">
        <v>196</v>
      </c>
      <c r="DB5" s="199"/>
      <c r="DC5" s="200"/>
      <c r="DD5" s="244"/>
      <c r="DE5" s="6"/>
      <c r="DF5" s="267" t="s">
        <v>197</v>
      </c>
      <c r="DG5" s="268"/>
      <c r="DH5" s="269"/>
      <c r="DI5" s="244"/>
      <c r="DJ5" s="6"/>
      <c r="DK5" s="267" t="s">
        <v>199</v>
      </c>
      <c r="DL5" s="268"/>
      <c r="DM5" s="269"/>
      <c r="DN5" s="244"/>
      <c r="DO5" s="6"/>
      <c r="DP5" s="267" t="s">
        <v>198</v>
      </c>
      <c r="DQ5" s="268"/>
      <c r="DR5" s="269"/>
      <c r="DS5" s="244"/>
      <c r="DT5" s="6"/>
      <c r="DU5" s="215" t="s">
        <v>210</v>
      </c>
      <c r="DV5" s="199"/>
      <c r="DW5" s="200"/>
      <c r="DX5" s="244"/>
      <c r="DZ5" s="212" t="s">
        <v>210</v>
      </c>
      <c r="EA5" s="213"/>
      <c r="EB5" s="214"/>
      <c r="EC5" s="244"/>
    </row>
    <row r="6" spans="1:139" s="8" customFormat="1" ht="12" customHeight="1" x14ac:dyDescent="0.2">
      <c r="A6" s="18" t="s">
        <v>1</v>
      </c>
      <c r="C6" s="71" t="s">
        <v>181</v>
      </c>
      <c r="D6" s="72"/>
      <c r="E6" s="249"/>
      <c r="F6" s="178" t="s">
        <v>182</v>
      </c>
      <c r="G6" s="179"/>
      <c r="H6" s="177"/>
      <c r="I6" s="209" t="s">
        <v>183</v>
      </c>
      <c r="J6" s="207"/>
      <c r="K6" s="207"/>
      <c r="L6" s="180" t="s">
        <v>100</v>
      </c>
      <c r="M6" s="219"/>
      <c r="N6" s="219"/>
      <c r="O6" s="265" t="s">
        <v>191</v>
      </c>
      <c r="P6" s="265"/>
      <c r="Q6" s="266"/>
      <c r="R6" s="235"/>
      <c r="S6" s="5"/>
      <c r="T6" s="209" t="s">
        <v>185</v>
      </c>
      <c r="U6" s="210"/>
      <c r="V6" s="211"/>
      <c r="W6" s="237"/>
      <c r="X6" s="55"/>
      <c r="Y6" s="216" t="s">
        <v>189</v>
      </c>
      <c r="Z6" s="217"/>
      <c r="AA6" s="218"/>
      <c r="AB6" s="239"/>
      <c r="AC6" s="5"/>
      <c r="AD6" s="87"/>
      <c r="AE6" s="88" t="s">
        <v>188</v>
      </c>
      <c r="AF6" s="21"/>
      <c r="AG6" s="55"/>
      <c r="AH6" s="5"/>
      <c r="AI6" s="22"/>
      <c r="AJ6" s="88" t="s">
        <v>188</v>
      </c>
      <c r="AK6" s="21"/>
      <c r="AL6" s="55"/>
      <c r="AM6" s="55"/>
      <c r="AN6" s="262" t="s">
        <v>190</v>
      </c>
      <c r="AO6" s="263"/>
      <c r="AP6" s="264"/>
      <c r="AQ6" s="243"/>
      <c r="AR6" s="5"/>
      <c r="AS6" s="262" t="s">
        <v>190</v>
      </c>
      <c r="AT6" s="263"/>
      <c r="AU6" s="264"/>
      <c r="AV6" s="243"/>
      <c r="AW6" s="5"/>
      <c r="AX6" s="259" t="s">
        <v>184</v>
      </c>
      <c r="AY6" s="260"/>
      <c r="AZ6" s="261"/>
      <c r="BA6" s="245"/>
      <c r="BB6" s="55"/>
      <c r="BC6" s="259" t="s">
        <v>184</v>
      </c>
      <c r="BD6" s="260"/>
      <c r="BE6" s="261"/>
      <c r="BF6" s="245"/>
      <c r="BG6" s="55"/>
      <c r="BH6" s="259" t="s">
        <v>184</v>
      </c>
      <c r="BI6" s="260"/>
      <c r="BJ6" s="261"/>
      <c r="BK6" s="245"/>
      <c r="BL6" s="5"/>
      <c r="BM6" s="89"/>
      <c r="BN6" s="90" t="s">
        <v>184</v>
      </c>
      <c r="BO6" s="91"/>
      <c r="BP6" s="245"/>
      <c r="BQ6" s="5"/>
      <c r="BR6" s="89"/>
      <c r="BS6" s="90" t="s">
        <v>184</v>
      </c>
      <c r="BT6" s="91"/>
      <c r="BU6" s="245"/>
      <c r="BV6" s="5"/>
      <c r="BW6" s="99"/>
      <c r="BX6" s="90" t="s">
        <v>184</v>
      </c>
      <c r="BY6" s="100"/>
      <c r="BZ6" s="245"/>
      <c r="CA6" s="55"/>
      <c r="CB6" s="89" t="s">
        <v>135</v>
      </c>
      <c r="CC6" s="90" t="s">
        <v>184</v>
      </c>
      <c r="CD6" s="21"/>
      <c r="CE6" s="245"/>
      <c r="CF6" s="5"/>
      <c r="CG6" s="89" t="s">
        <v>135</v>
      </c>
      <c r="CH6" s="90" t="s">
        <v>184</v>
      </c>
      <c r="CI6" s="21"/>
      <c r="CJ6" s="245"/>
      <c r="CK6" s="5"/>
      <c r="CL6" s="22"/>
      <c r="CM6" s="90" t="s">
        <v>184</v>
      </c>
      <c r="CN6" s="21"/>
      <c r="CO6" s="245"/>
      <c r="CP6" s="55"/>
      <c r="CQ6" s="22"/>
      <c r="CR6" s="90" t="s">
        <v>184</v>
      </c>
      <c r="CS6" s="21"/>
      <c r="CT6" s="245"/>
      <c r="CU6" s="55"/>
      <c r="CV6" s="22"/>
      <c r="CW6" s="90" t="s">
        <v>184</v>
      </c>
      <c r="CX6" s="21"/>
      <c r="CY6" s="245"/>
      <c r="CZ6" s="55"/>
      <c r="DA6" s="22"/>
      <c r="DB6" s="90" t="s">
        <v>184</v>
      </c>
      <c r="DC6" s="21"/>
      <c r="DD6" s="245"/>
      <c r="DE6" s="55"/>
      <c r="DF6" s="22"/>
      <c r="DG6" s="90" t="s">
        <v>184</v>
      </c>
      <c r="DH6" s="21"/>
      <c r="DI6" s="245"/>
      <c r="DJ6" s="55"/>
      <c r="DK6" s="22"/>
      <c r="DL6" s="90" t="s">
        <v>184</v>
      </c>
      <c r="DM6" s="21"/>
      <c r="DN6" s="245"/>
      <c r="DO6" s="55"/>
      <c r="DP6" s="22"/>
      <c r="DQ6" s="90" t="s">
        <v>184</v>
      </c>
      <c r="DR6" s="21"/>
      <c r="DS6" s="245"/>
      <c r="DT6" s="55"/>
      <c r="DU6" s="22"/>
      <c r="DV6" s="181" t="s">
        <v>186</v>
      </c>
      <c r="DW6" s="21"/>
      <c r="DX6" s="245"/>
      <c r="DY6" s="5"/>
      <c r="DZ6" s="197"/>
      <c r="EA6" s="183" t="s">
        <v>187</v>
      </c>
      <c r="EB6" s="172"/>
      <c r="EC6" s="245"/>
    </row>
    <row r="7" spans="1:139" s="8" customFormat="1" ht="12" customHeight="1" x14ac:dyDescent="0.2">
      <c r="A7" s="18"/>
      <c r="C7" s="33"/>
      <c r="D7" s="195"/>
      <c r="E7" s="25" t="s">
        <v>211</v>
      </c>
      <c r="F7" s="195"/>
      <c r="G7" s="195"/>
      <c r="H7" s="25" t="s">
        <v>211</v>
      </c>
      <c r="I7" s="195"/>
      <c r="J7" s="195"/>
      <c r="K7" s="25" t="s">
        <v>211</v>
      </c>
      <c r="L7" s="195"/>
      <c r="M7" s="195"/>
      <c r="N7" s="25" t="s">
        <v>211</v>
      </c>
      <c r="O7" s="195"/>
      <c r="P7" s="195"/>
      <c r="Q7" s="14"/>
      <c r="R7" s="25" t="s">
        <v>211</v>
      </c>
      <c r="S7" s="5"/>
      <c r="T7" s="253"/>
      <c r="U7" s="254"/>
      <c r="V7" s="255"/>
      <c r="W7" s="25" t="s">
        <v>211</v>
      </c>
      <c r="X7" s="55"/>
      <c r="Y7" s="196"/>
      <c r="Z7" s="23"/>
      <c r="AA7" s="21"/>
      <c r="AB7" s="25" t="s">
        <v>211</v>
      </c>
      <c r="AC7" s="5"/>
      <c r="AD7" s="22"/>
      <c r="AE7" s="23">
        <v>0.1658126</v>
      </c>
      <c r="AF7" s="21"/>
      <c r="AG7" s="25" t="s">
        <v>211</v>
      </c>
      <c r="AH7" s="5"/>
      <c r="AI7" s="22"/>
      <c r="AJ7" s="23">
        <v>0.83418740000000002</v>
      </c>
      <c r="AK7" s="21"/>
      <c r="AL7" s="25" t="s">
        <v>211</v>
      </c>
      <c r="AM7" s="101"/>
      <c r="AN7" s="196">
        <v>4.2989400000000004E-2</v>
      </c>
      <c r="AO7" s="23">
        <v>4.7787900000000001E-2</v>
      </c>
      <c r="AP7" s="21">
        <v>6.3442500000000013E-2</v>
      </c>
      <c r="AQ7" s="25" t="s">
        <v>211</v>
      </c>
      <c r="AR7" s="5"/>
      <c r="AS7" s="196">
        <f>AX7+BC7+BH7+BM7+BR7+BW7+CB7+CG7+CL7+CQ7+CV7+DA7+DF7+DK7+DP7+DU7</f>
        <v>0.95701071842465746</v>
      </c>
      <c r="AT7" s="196">
        <f>AY7+BD7+BI7+BN7+BS7+BX7+CC7+CH7+CM7+CR7+CW7+DB7+DG7+DL7+DQ7+DV7</f>
        <v>0.95221196863013691</v>
      </c>
      <c r="AU7" s="196">
        <f>AZ7+BE7+BJ7+BO7+BT7+BY7+CD7+CI7+CN7+CS7+CX7+DC7+DH7+DM7+DR7+DW7</f>
        <v>0.93655761623287681</v>
      </c>
      <c r="AV7" s="25" t="s">
        <v>211</v>
      </c>
      <c r="AW7" s="5"/>
      <c r="AX7" s="197">
        <v>4.6408340205479452E-2</v>
      </c>
      <c r="AY7" s="8">
        <v>5.3141342465753423E-2</v>
      </c>
      <c r="AZ7" s="172">
        <v>5.3150684931506847E-2</v>
      </c>
      <c r="BA7" s="25" t="s">
        <v>211</v>
      </c>
      <c r="BB7" s="55"/>
      <c r="BC7" s="182">
        <v>7.0360400000000003E-2</v>
      </c>
      <c r="BD7" s="8">
        <v>0.15466060000000001</v>
      </c>
      <c r="BE7" s="21">
        <v>0.16130140000000001</v>
      </c>
      <c r="BF7" s="25" t="s">
        <v>211</v>
      </c>
      <c r="BG7" s="55"/>
      <c r="BH7" s="182">
        <v>1.5668600000000001E-2</v>
      </c>
      <c r="BI7" s="8">
        <v>1.8502899999999999E-2</v>
      </c>
      <c r="BJ7" s="21">
        <v>2.02699E-2</v>
      </c>
      <c r="BK7" s="25" t="s">
        <v>211</v>
      </c>
      <c r="BL7" s="5"/>
      <c r="BM7" s="22">
        <v>2.2359999999999999E-4</v>
      </c>
      <c r="BN7" s="23">
        <v>2.2359999999999999E-4</v>
      </c>
      <c r="BO7" s="21">
        <v>2.2359999999999999E-4</v>
      </c>
      <c r="BP7" s="25" t="s">
        <v>211</v>
      </c>
      <c r="BQ7" s="5"/>
      <c r="BR7" s="22">
        <v>0</v>
      </c>
      <c r="BS7" s="23">
        <v>0</v>
      </c>
      <c r="BT7" s="21">
        <v>3.5500000000000001E-4</v>
      </c>
      <c r="BU7" s="25" t="s">
        <v>211</v>
      </c>
      <c r="BV7" s="5"/>
      <c r="BW7" s="182">
        <v>2.0236795753424658E-2</v>
      </c>
      <c r="BX7" s="8">
        <v>2.0636987534246577E-2</v>
      </c>
      <c r="BY7" s="21">
        <v>2.0636987534246577E-2</v>
      </c>
      <c r="BZ7" s="25" t="s">
        <v>211</v>
      </c>
      <c r="CA7" s="55"/>
      <c r="CB7" s="22">
        <v>1.081E-4</v>
      </c>
      <c r="CC7" s="23">
        <v>1.081E-4</v>
      </c>
      <c r="CD7" s="21">
        <v>1.081E-4</v>
      </c>
      <c r="CE7" s="25" t="s">
        <v>211</v>
      </c>
      <c r="CF7" s="5"/>
      <c r="CG7" s="22">
        <v>0</v>
      </c>
      <c r="CH7" s="23">
        <v>0</v>
      </c>
      <c r="CI7" s="21">
        <v>1.9794999999999999E-3</v>
      </c>
      <c r="CJ7" s="25" t="s">
        <v>211</v>
      </c>
      <c r="CK7" s="5"/>
      <c r="CL7" s="22">
        <v>5.3550000000000004E-3</v>
      </c>
      <c r="CM7" s="23">
        <v>5.3550000000000004E-3</v>
      </c>
      <c r="CN7" s="21">
        <v>5.3550000000000004E-3</v>
      </c>
      <c r="CO7" s="25" t="s">
        <v>211</v>
      </c>
      <c r="CP7" s="55"/>
      <c r="CQ7" s="22">
        <v>5.4796999999999998E-2</v>
      </c>
      <c r="CR7" s="23">
        <v>5.4796999999999998E-2</v>
      </c>
      <c r="CS7" s="21">
        <v>5.4796999999999998E-2</v>
      </c>
      <c r="CT7" s="25" t="s">
        <v>211</v>
      </c>
      <c r="CU7" s="55"/>
      <c r="CV7" s="22">
        <v>4.1836699999999998E-2</v>
      </c>
      <c r="CW7" s="23">
        <v>4.9707000000000001E-2</v>
      </c>
      <c r="CX7" s="21">
        <v>4.9707000000000001E-2</v>
      </c>
      <c r="CY7" s="25" t="s">
        <v>211</v>
      </c>
      <c r="CZ7" s="55"/>
      <c r="DA7" s="22">
        <v>3.9007999999999998E-3</v>
      </c>
      <c r="DB7" s="23">
        <v>4.1094E-3</v>
      </c>
      <c r="DC7" s="21">
        <v>4.3293999999999997E-3</v>
      </c>
      <c r="DD7" s="25" t="s">
        <v>211</v>
      </c>
      <c r="DE7" s="55"/>
      <c r="DF7" s="22">
        <v>8.9917E-3</v>
      </c>
      <c r="DG7" s="23">
        <v>4.3892E-2</v>
      </c>
      <c r="DH7" s="21">
        <v>0.1124684</v>
      </c>
      <c r="DI7" s="25" t="s">
        <v>211</v>
      </c>
      <c r="DJ7" s="55"/>
      <c r="DK7" s="22">
        <v>0.20035030000000001</v>
      </c>
      <c r="DL7" s="23">
        <v>0.25943690000000003</v>
      </c>
      <c r="DM7" s="21">
        <v>0.30515619999999999</v>
      </c>
      <c r="DN7" s="25" t="s">
        <v>211</v>
      </c>
      <c r="DO7" s="55"/>
      <c r="DP7" s="22"/>
      <c r="DQ7" s="23">
        <v>6.9499999999999995E-5</v>
      </c>
      <c r="DR7" s="21">
        <v>6.9499999999999995E-5</v>
      </c>
      <c r="DS7" s="25" t="s">
        <v>211</v>
      </c>
      <c r="DT7" s="55"/>
      <c r="DU7" s="22">
        <v>0.48877338246575347</v>
      </c>
      <c r="DV7" s="23">
        <v>0.28757163863013696</v>
      </c>
      <c r="DW7" s="21">
        <v>0.14664994376712343</v>
      </c>
      <c r="DX7" s="25" t="s">
        <v>211</v>
      </c>
      <c r="DY7" s="5"/>
      <c r="DZ7" s="182">
        <v>0.33471092749999998</v>
      </c>
      <c r="EA7" s="23">
        <v>0.18831251125000001</v>
      </c>
      <c r="EB7" s="21">
        <v>0.18831251124999998</v>
      </c>
      <c r="EC7" s="25" t="s">
        <v>211</v>
      </c>
    </row>
    <row r="8" spans="1:139" s="8" customFormat="1" ht="12" customHeight="1" x14ac:dyDescent="0.2">
      <c r="A8" s="18"/>
      <c r="C8" s="185"/>
      <c r="D8" s="186"/>
      <c r="E8" s="25" t="s">
        <v>212</v>
      </c>
      <c r="F8" s="186"/>
      <c r="G8" s="186"/>
      <c r="H8" s="25" t="s">
        <v>212</v>
      </c>
      <c r="I8" s="186"/>
      <c r="J8" s="186"/>
      <c r="K8" s="25" t="s">
        <v>212</v>
      </c>
      <c r="L8" s="186"/>
      <c r="M8" s="186"/>
      <c r="N8" s="25" t="s">
        <v>212</v>
      </c>
      <c r="O8" s="186"/>
      <c r="P8" s="186"/>
      <c r="Q8" s="187"/>
      <c r="R8" s="25" t="s">
        <v>212</v>
      </c>
      <c r="S8" s="5"/>
      <c r="T8" s="191"/>
      <c r="U8" s="192"/>
      <c r="V8" s="193"/>
      <c r="W8" s="25" t="s">
        <v>212</v>
      </c>
      <c r="X8" s="55"/>
      <c r="Y8" s="188"/>
      <c r="Z8" s="49"/>
      <c r="AA8" s="172"/>
      <c r="AB8" s="25" t="s">
        <v>212</v>
      </c>
      <c r="AC8" s="5"/>
      <c r="AD8" s="189"/>
      <c r="AF8" s="172"/>
      <c r="AG8" s="25" t="s">
        <v>212</v>
      </c>
      <c r="AH8" s="5"/>
      <c r="AI8" s="189"/>
      <c r="AK8" s="172"/>
      <c r="AL8" s="25" t="s">
        <v>212</v>
      </c>
      <c r="AM8" s="55"/>
      <c r="AN8" s="188">
        <v>8.7622599999999995E-2</v>
      </c>
      <c r="AO8" s="49"/>
      <c r="AP8" s="172"/>
      <c r="AQ8" s="25" t="s">
        <v>212</v>
      </c>
      <c r="AR8" s="5"/>
      <c r="AS8" s="196">
        <f>AX8+BC8+BH8+BM8+BR8+BW8+CB8+CG8+CL8+CQ8+CV8+DA8+DF8+DK8+DP8+DU8</f>
        <v>0.9123774084246572</v>
      </c>
      <c r="AT8" s="55"/>
      <c r="AU8" s="190"/>
      <c r="AV8" s="25" t="s">
        <v>212</v>
      </c>
      <c r="AW8" s="5"/>
      <c r="AX8" s="171">
        <v>5.3150684931506841E-2</v>
      </c>
      <c r="AY8" s="251">
        <v>5.3176468387200318E-2</v>
      </c>
      <c r="AZ8" s="172"/>
      <c r="BA8" s="25" t="s">
        <v>212</v>
      </c>
      <c r="BB8" s="55"/>
      <c r="BC8" s="171">
        <v>0.16130136986301369</v>
      </c>
      <c r="BD8" s="251">
        <v>0.16137961733486697</v>
      </c>
      <c r="BE8" s="172"/>
      <c r="BF8" s="25" t="s">
        <v>212</v>
      </c>
      <c r="BG8" s="55"/>
      <c r="BH8" s="171">
        <v>2.0425876027397254E-2</v>
      </c>
      <c r="BI8" s="251">
        <v>2.0435784642314096E-2</v>
      </c>
      <c r="BJ8" s="172"/>
      <c r="BK8" s="25" t="s">
        <v>212</v>
      </c>
      <c r="BL8" s="5"/>
      <c r="BM8" s="189">
        <v>2.2360431506849318E-4</v>
      </c>
      <c r="BN8" s="251">
        <v>2.2371278576756071E-4</v>
      </c>
      <c r="BO8" s="172"/>
      <c r="BP8" s="25" t="s">
        <v>212</v>
      </c>
      <c r="BQ8" s="5"/>
      <c r="BR8" s="189">
        <v>3.5502054794520548E-4</v>
      </c>
      <c r="BS8" s="251">
        <v>3.5519276880331886E-4</v>
      </c>
      <c r="BT8" s="172"/>
      <c r="BU8" s="25" t="s">
        <v>212</v>
      </c>
      <c r="BV8" s="5"/>
      <c r="BW8" s="171">
        <v>2.0636987534246577E-2</v>
      </c>
      <c r="BX8" s="251">
        <v>2.1072556404920399E-2</v>
      </c>
      <c r="BY8" s="172"/>
      <c r="BZ8" s="25" t="s">
        <v>212</v>
      </c>
      <c r="CA8" s="55"/>
      <c r="CB8" s="189">
        <v>1.0810280821917808E-4</v>
      </c>
      <c r="CC8" s="251">
        <v>1.0815524901029209E-4</v>
      </c>
      <c r="CD8" s="172"/>
      <c r="CE8" s="25" t="s">
        <v>212</v>
      </c>
      <c r="CF8" s="5"/>
      <c r="CG8" s="189">
        <v>4.4765034246575346E-3</v>
      </c>
      <c r="CH8" s="251">
        <v>4.6434780394566709E-3</v>
      </c>
      <c r="CI8" s="172"/>
      <c r="CJ8" s="25" t="s">
        <v>212</v>
      </c>
      <c r="CK8" s="5"/>
      <c r="CL8" s="189">
        <v>5.3550197945205482E-3</v>
      </c>
      <c r="CM8" s="251">
        <v>5.3576175205101119E-3</v>
      </c>
      <c r="CN8" s="172"/>
      <c r="CO8" s="25" t="s">
        <v>212</v>
      </c>
      <c r="CP8" s="55"/>
      <c r="CQ8" s="189">
        <v>5.4796970753424663E-2</v>
      </c>
      <c r="CR8" s="251">
        <v>5.4823552824180256E-2</v>
      </c>
      <c r="CS8" s="172"/>
      <c r="CT8" s="25" t="s">
        <v>212</v>
      </c>
      <c r="CU8" s="55"/>
      <c r="CV8" s="189">
        <v>4.9707007808219177E-2</v>
      </c>
      <c r="CW8" s="251">
        <v>4.9731120732354209E-2</v>
      </c>
      <c r="CX8" s="172"/>
      <c r="CY8" s="25" t="s">
        <v>212</v>
      </c>
      <c r="CZ8" s="55"/>
      <c r="DA8" s="189">
        <v>4.7367371917808217E-3</v>
      </c>
      <c r="DB8" s="251">
        <v>4.9545069289478987E-3</v>
      </c>
      <c r="DC8" s="172"/>
      <c r="DD8" s="25" t="s">
        <v>212</v>
      </c>
      <c r="DE8" s="55"/>
      <c r="DF8" s="189">
        <v>0.15693289999999999</v>
      </c>
      <c r="DG8" s="251">
        <v>0.17152375012542026</v>
      </c>
      <c r="DH8" s="172"/>
      <c r="DI8" s="25" t="s">
        <v>212</v>
      </c>
      <c r="DJ8" s="55"/>
      <c r="DK8" s="189">
        <f>2.08425%+31.93873%</f>
        <v>0.34022979999999997</v>
      </c>
      <c r="DL8" s="251">
        <v>0.35460432376036177</v>
      </c>
      <c r="DM8" s="172"/>
      <c r="DN8" s="25" t="s">
        <v>212</v>
      </c>
      <c r="DO8" s="55"/>
      <c r="DP8" s="189">
        <v>6.9526232876712324E-5</v>
      </c>
      <c r="DQ8" s="251">
        <v>6.9559960128717094E-5</v>
      </c>
      <c r="DR8" s="172"/>
      <c r="DS8" s="25" t="s">
        <v>212</v>
      </c>
      <c r="DT8" s="55"/>
      <c r="DU8" s="189">
        <v>3.9871297191780723E-2</v>
      </c>
      <c r="DW8" s="172"/>
      <c r="DX8" s="25" t="s">
        <v>212</v>
      </c>
      <c r="DY8" s="5"/>
      <c r="DZ8" s="171">
        <v>0.18831251124999998</v>
      </c>
      <c r="EA8" s="49"/>
      <c r="EB8" s="194"/>
      <c r="EC8" s="25" t="s">
        <v>212</v>
      </c>
    </row>
    <row r="9" spans="1:139" ht="12" customHeight="1" x14ac:dyDescent="0.2">
      <c r="A9" s="24"/>
      <c r="C9" s="59" t="s">
        <v>2</v>
      </c>
      <c r="D9" s="25" t="s">
        <v>3</v>
      </c>
      <c r="E9" s="25" t="s">
        <v>4</v>
      </c>
      <c r="F9" s="59" t="s">
        <v>2</v>
      </c>
      <c r="G9" s="25" t="s">
        <v>3</v>
      </c>
      <c r="H9" s="25" t="s">
        <v>4</v>
      </c>
      <c r="I9" s="59" t="s">
        <v>2</v>
      </c>
      <c r="J9" s="25" t="s">
        <v>3</v>
      </c>
      <c r="K9" s="25" t="s">
        <v>4</v>
      </c>
      <c r="L9" s="59" t="s">
        <v>2</v>
      </c>
      <c r="M9" s="25" t="s">
        <v>3</v>
      </c>
      <c r="N9" s="25" t="s">
        <v>4</v>
      </c>
      <c r="O9" s="25" t="s">
        <v>78</v>
      </c>
      <c r="P9" s="25" t="s">
        <v>79</v>
      </c>
      <c r="Q9" s="25" t="s">
        <v>4</v>
      </c>
      <c r="R9" s="25" t="s">
        <v>4</v>
      </c>
      <c r="T9" s="25" t="s">
        <v>2</v>
      </c>
      <c r="U9" s="59" t="s">
        <v>3</v>
      </c>
      <c r="V9" s="25" t="s">
        <v>4</v>
      </c>
      <c r="W9" s="25" t="s">
        <v>4</v>
      </c>
      <c r="X9" s="60"/>
      <c r="Y9" s="25" t="s">
        <v>2</v>
      </c>
      <c r="Z9" s="59" t="s">
        <v>3</v>
      </c>
      <c r="AA9" s="25" t="s">
        <v>4</v>
      </c>
      <c r="AB9" s="25" t="s">
        <v>4</v>
      </c>
      <c r="AD9" s="26" t="s">
        <v>2</v>
      </c>
      <c r="AE9" s="26" t="s">
        <v>3</v>
      </c>
      <c r="AF9" s="26" t="s">
        <v>4</v>
      </c>
      <c r="AG9" s="25" t="s">
        <v>4</v>
      </c>
      <c r="AI9" s="26" t="s">
        <v>2</v>
      </c>
      <c r="AJ9" s="26" t="s">
        <v>3</v>
      </c>
      <c r="AK9" s="26" t="s">
        <v>4</v>
      </c>
      <c r="AL9" s="25" t="s">
        <v>4</v>
      </c>
      <c r="AM9" s="26"/>
      <c r="AN9" s="25" t="s">
        <v>2</v>
      </c>
      <c r="AO9" s="59" t="s">
        <v>3</v>
      </c>
      <c r="AP9" s="25" t="s">
        <v>4</v>
      </c>
      <c r="AQ9" s="25" t="s">
        <v>4</v>
      </c>
      <c r="AS9" s="25" t="s">
        <v>2</v>
      </c>
      <c r="AT9" s="25" t="s">
        <v>3</v>
      </c>
      <c r="AU9" s="25" t="s">
        <v>4</v>
      </c>
      <c r="AV9" s="25" t="s">
        <v>4</v>
      </c>
      <c r="AX9" s="25" t="s">
        <v>2</v>
      </c>
      <c r="AY9" s="25" t="s">
        <v>3</v>
      </c>
      <c r="AZ9" s="25" t="s">
        <v>4</v>
      </c>
      <c r="BA9" s="25" t="s">
        <v>4</v>
      </c>
      <c r="BB9" s="60"/>
      <c r="BC9" s="25" t="s">
        <v>2</v>
      </c>
      <c r="BD9" s="25" t="s">
        <v>3</v>
      </c>
      <c r="BE9" s="25" t="s">
        <v>4</v>
      </c>
      <c r="BF9" s="25" t="s">
        <v>4</v>
      </c>
      <c r="BG9" s="60"/>
      <c r="BH9" s="25" t="s">
        <v>2</v>
      </c>
      <c r="BI9" s="25" t="s">
        <v>3</v>
      </c>
      <c r="BJ9" s="25" t="s">
        <v>4</v>
      </c>
      <c r="BK9" s="25" t="s">
        <v>4</v>
      </c>
      <c r="BM9" s="26" t="s">
        <v>2</v>
      </c>
      <c r="BN9" s="26" t="s">
        <v>3</v>
      </c>
      <c r="BO9" s="26" t="s">
        <v>4</v>
      </c>
      <c r="BP9" s="25" t="s">
        <v>4</v>
      </c>
      <c r="BR9" s="26" t="s">
        <v>2</v>
      </c>
      <c r="BS9" s="26" t="s">
        <v>3</v>
      </c>
      <c r="BT9" s="26" t="s">
        <v>4</v>
      </c>
      <c r="BU9" s="25" t="s">
        <v>4</v>
      </c>
      <c r="BW9" s="25" t="s">
        <v>2</v>
      </c>
      <c r="BX9" s="59" t="s">
        <v>3</v>
      </c>
      <c r="BY9" s="25" t="s">
        <v>4</v>
      </c>
      <c r="BZ9" s="25" t="s">
        <v>4</v>
      </c>
      <c r="CA9" s="60"/>
      <c r="CB9" s="26" t="s">
        <v>2</v>
      </c>
      <c r="CC9" s="26" t="s">
        <v>3</v>
      </c>
      <c r="CD9" s="26" t="s">
        <v>4</v>
      </c>
      <c r="CE9" s="25" t="s">
        <v>4</v>
      </c>
      <c r="CG9" s="26" t="s">
        <v>2</v>
      </c>
      <c r="CH9" s="26" t="s">
        <v>3</v>
      </c>
      <c r="CI9" s="26" t="s">
        <v>4</v>
      </c>
      <c r="CJ9" s="25" t="s">
        <v>4</v>
      </c>
      <c r="CL9" s="26" t="s">
        <v>2</v>
      </c>
      <c r="CM9" s="26" t="s">
        <v>3</v>
      </c>
      <c r="CN9" s="26" t="s">
        <v>4</v>
      </c>
      <c r="CO9" s="25" t="s">
        <v>4</v>
      </c>
      <c r="CP9" s="27"/>
      <c r="CQ9" s="26" t="s">
        <v>2</v>
      </c>
      <c r="CR9" s="26" t="s">
        <v>3</v>
      </c>
      <c r="CS9" s="26" t="s">
        <v>4</v>
      </c>
      <c r="CT9" s="25" t="s">
        <v>4</v>
      </c>
      <c r="CU9" s="27"/>
      <c r="CV9" s="26" t="s">
        <v>2</v>
      </c>
      <c r="CW9" s="26" t="s">
        <v>3</v>
      </c>
      <c r="CX9" s="26" t="s">
        <v>4</v>
      </c>
      <c r="CY9" s="25" t="s">
        <v>4</v>
      </c>
      <c r="CZ9" s="27"/>
      <c r="DA9" s="26" t="s">
        <v>2</v>
      </c>
      <c r="DB9" s="26" t="s">
        <v>3</v>
      </c>
      <c r="DC9" s="26" t="s">
        <v>4</v>
      </c>
      <c r="DD9" s="25" t="s">
        <v>4</v>
      </c>
      <c r="DE9" s="27"/>
      <c r="DF9" s="26" t="s">
        <v>2</v>
      </c>
      <c r="DG9" s="26" t="s">
        <v>3</v>
      </c>
      <c r="DH9" s="26" t="s">
        <v>4</v>
      </c>
      <c r="DI9" s="25" t="s">
        <v>4</v>
      </c>
      <c r="DJ9" s="27"/>
      <c r="DK9" s="26" t="s">
        <v>2</v>
      </c>
      <c r="DL9" s="26" t="s">
        <v>3</v>
      </c>
      <c r="DM9" s="26" t="s">
        <v>4</v>
      </c>
      <c r="DN9" s="25" t="s">
        <v>4</v>
      </c>
      <c r="DO9" s="27"/>
      <c r="DP9" s="26" t="s">
        <v>2</v>
      </c>
      <c r="DQ9" s="26" t="s">
        <v>3</v>
      </c>
      <c r="DR9" s="26" t="s">
        <v>4</v>
      </c>
      <c r="DS9" s="25" t="s">
        <v>4</v>
      </c>
      <c r="DT9" s="27"/>
      <c r="DU9" s="26" t="s">
        <v>2</v>
      </c>
      <c r="DV9" s="26" t="s">
        <v>3</v>
      </c>
      <c r="DW9" s="26" t="s">
        <v>4</v>
      </c>
      <c r="DX9" s="25" t="s">
        <v>4</v>
      </c>
      <c r="DZ9" s="25" t="s">
        <v>2</v>
      </c>
      <c r="EA9" s="25" t="s">
        <v>3</v>
      </c>
      <c r="EB9" s="25" t="s">
        <v>4</v>
      </c>
      <c r="EC9" s="25" t="s">
        <v>4</v>
      </c>
    </row>
    <row r="10" spans="1:139" ht="12" customHeight="1" x14ac:dyDescent="0.2">
      <c r="A10" s="28">
        <v>45566</v>
      </c>
      <c r="D10" s="3">
        <v>1298700</v>
      </c>
      <c r="E10" s="3">
        <v>285756</v>
      </c>
      <c r="G10" s="3">
        <v>2252650</v>
      </c>
      <c r="H10" s="3">
        <v>751642</v>
      </c>
      <c r="J10" s="3">
        <v>238625</v>
      </c>
      <c r="K10" s="3">
        <v>166259</v>
      </c>
      <c r="M10" s="3">
        <v>340375</v>
      </c>
      <c r="N10" s="3">
        <v>345072</v>
      </c>
      <c r="P10" s="3">
        <f t="shared" ref="P10:P63" si="0">D10+G10+J10+M10</f>
        <v>4130350</v>
      </c>
      <c r="Q10" s="3">
        <f t="shared" ref="Q10:Q63" si="1">O10+P10</f>
        <v>4130350</v>
      </c>
      <c r="R10" s="3">
        <f t="shared" ref="R10:R63" si="2">E10+H10+K10+N10</f>
        <v>1548729</v>
      </c>
      <c r="T10" s="3">
        <f>'10-Year FR Revised'!H9</f>
        <v>0</v>
      </c>
      <c r="U10" s="3">
        <f>'10-Year FR Revised'!I9</f>
        <v>238624.99999999997</v>
      </c>
      <c r="V10" s="5">
        <f t="shared" ref="V10:V23" si="3">T10+U10</f>
        <v>238624.99999999997</v>
      </c>
      <c r="W10" s="3">
        <f>'10-Year FR Revised'!K9</f>
        <v>166258.99999999994</v>
      </c>
      <c r="Z10" s="5">
        <f t="shared" ref="Z10:AB63" si="4">AE10+AJ10</f>
        <v>1298700</v>
      </c>
      <c r="AA10" s="5">
        <f t="shared" ref="AA10:AA63" si="5">Y10+Z10</f>
        <v>1298700</v>
      </c>
      <c r="AB10" s="5">
        <f t="shared" si="4"/>
        <v>285756</v>
      </c>
      <c r="AD10" s="5"/>
      <c r="AE10" s="5">
        <f t="shared" ref="AE10:AE35" si="6">D10*$AE$7</f>
        <v>215340.82362000001</v>
      </c>
      <c r="AF10" s="5">
        <f t="shared" ref="AF10:AF63" si="7">AD10+AE10</f>
        <v>215340.82362000001</v>
      </c>
      <c r="AG10" s="5">
        <f t="shared" ref="AG10:AG63" si="8">AE$7*$E10</f>
        <v>47381.945325599998</v>
      </c>
      <c r="AJ10" s="5">
        <f t="shared" ref="AJ10:AJ35" si="9">D10*$AJ$7</f>
        <v>1083359.1763800001</v>
      </c>
      <c r="AK10" s="5">
        <f t="shared" ref="AK10:AK63" si="10">AI10+AJ10</f>
        <v>1083359.1763800001</v>
      </c>
      <c r="AL10" s="5">
        <f t="shared" ref="AL10:AL63" si="11">AJ$7*$E10</f>
        <v>238374.05467440002</v>
      </c>
      <c r="AN10" s="5">
        <f>'20-Yrs Acad Revised'!H9</f>
        <v>0</v>
      </c>
      <c r="AO10" s="5">
        <f>'20-Yrs Acad Revised'!I9</f>
        <v>219724.83830217362</v>
      </c>
      <c r="AP10" s="5">
        <f t="shared" ref="AP10:AP44" si="12">AN10+AO10</f>
        <v>219724.83830217362</v>
      </c>
      <c r="AQ10" s="5">
        <f>'20-Yrs Acad Revised'!K9</f>
        <v>73315.613571181675</v>
      </c>
      <c r="AS10" s="3">
        <f t="shared" ref="AS10:AS63" si="13">BW10+AX10+BC10+BM10+BR10+CG10+CL10+CQ10+CV10+DA10+DF10+DK10+DP10+DU10+BH10+CB10</f>
        <v>0</v>
      </c>
      <c r="AT10" s="3">
        <f t="shared" ref="AT10:AT63" si="14">BX10+AY10+BD10+BN10+BS10+CH10+CM10+CR10+CW10+DB10+DG10+DL10+DQ10+DV10+BI10+CC10</f>
        <v>2032925.1616978268</v>
      </c>
      <c r="AU10" s="5">
        <f t="shared" ref="AU10:AU63" si="15">AS10+AT10</f>
        <v>2032925.1616978268</v>
      </c>
      <c r="AV10" s="3">
        <f t="shared" ref="AV10:AV63" si="16">BZ10+BA10+BF10+BP10+BU10+CJ10+CO10+CT10+CY10+DD10+DI10+DN10+DS10+DX10+BK10+CE10</f>
        <v>678326.38642881834</v>
      </c>
      <c r="AX10" s="5">
        <f t="shared" ref="AX10:AX63" si="17">$F10*AY$8</f>
        <v>0</v>
      </c>
      <c r="AY10" s="5">
        <f t="shared" ref="AY10:AY63" si="18">$G10*AY$8</f>
        <v>119787.9715124268</v>
      </c>
      <c r="AZ10" s="5">
        <f t="shared" ref="AZ10:AZ63" si="19">AX10+AY10</f>
        <v>119787.9715124268</v>
      </c>
      <c r="BA10" s="5">
        <f t="shared" ref="BA10:BA63" si="20">AY$8*$H10</f>
        <v>39969.667051492019</v>
      </c>
      <c r="BC10" s="5">
        <f t="shared" ref="BC10:BC63" si="21">$F10*BD$8</f>
        <v>0</v>
      </c>
      <c r="BD10" s="5">
        <f t="shared" ref="BD10:BD63" si="22">$G10*BD$8</f>
        <v>363531.79498938809</v>
      </c>
      <c r="BE10" s="5">
        <f t="shared" ref="BE10:BE63" si="23">BC10+BD10</f>
        <v>363531.79498938809</v>
      </c>
      <c r="BF10" s="5">
        <f t="shared" ref="BF10:BF63" si="24">BD$8*$H10</f>
        <v>121299.69833281408</v>
      </c>
      <c r="BH10" s="5">
        <f t="shared" ref="BH10:BH63" si="25">$F10*BI$8</f>
        <v>0</v>
      </c>
      <c r="BI10" s="5">
        <f t="shared" ref="BI10:BI63" si="26">$G10*BI$8</f>
        <v>46034.670274508848</v>
      </c>
      <c r="BJ10" s="5">
        <f t="shared" ref="BJ10:BJ63" si="27">BH10+BI10</f>
        <v>46034.670274508848</v>
      </c>
      <c r="BK10" s="5">
        <f t="shared" ref="BK10:BK63" si="28">BI$8*$H10</f>
        <v>15360.394040118252</v>
      </c>
      <c r="BM10" s="5">
        <f t="shared" ref="BM10:BM63" si="29">$F10*BN$8</f>
        <v>0</v>
      </c>
      <c r="BN10" s="5">
        <f t="shared" ref="BN10:BN63" si="30">$G10*BN$8</f>
        <v>503.94660685929563</v>
      </c>
      <c r="BO10" s="5">
        <f t="shared" ref="BO10:BO63" si="31">BM10+BN10</f>
        <v>503.94660685929563</v>
      </c>
      <c r="BP10" s="5">
        <f t="shared" ref="BP10:BP63" si="32">BN$8*$H10</f>
        <v>168.15192571990087</v>
      </c>
      <c r="BR10" s="5">
        <f t="shared" ref="BR10:BR63" si="33">$F10*BS$8</f>
        <v>0</v>
      </c>
      <c r="BS10" s="5">
        <f t="shared" ref="BS10:BS63" si="34">$G10*BS$8</f>
        <v>800.12499064479618</v>
      </c>
      <c r="BT10" s="5">
        <f t="shared" ref="BT10:BT63" si="35">BR10+BS10</f>
        <v>800.12499064479618</v>
      </c>
      <c r="BU10" s="5">
        <f t="shared" ref="BU10:BU63" si="36">BS$8*$H10</f>
        <v>266.9778031288642</v>
      </c>
      <c r="BW10" s="5">
        <f t="shared" ref="BW10:BW63" si="37">$F10*BX$8</f>
        <v>0</v>
      </c>
      <c r="BX10" s="5">
        <f t="shared" ref="BX10:BX63" si="38">$G10*BX$8</f>
        <v>47469.094185543938</v>
      </c>
      <c r="BY10" s="5">
        <f t="shared" ref="BY10:BY63" si="39">BW10+BX10</f>
        <v>47469.094185543938</v>
      </c>
      <c r="BZ10" s="5">
        <f t="shared" ref="BZ10:BZ63" si="40">BX$8*$H10</f>
        <v>15839.018441307178</v>
      </c>
      <c r="CB10" s="5">
        <f t="shared" ref="CB10:CB63" si="41">$F10*CC$8</f>
        <v>0</v>
      </c>
      <c r="CC10" s="5">
        <f t="shared" ref="CC10:CC63" si="42">$G10*CC$8</f>
        <v>243.63592168303447</v>
      </c>
      <c r="CD10" s="5">
        <f t="shared" ref="CD10:CD63" si="43">CB10+CC10</f>
        <v>243.63592168303447</v>
      </c>
      <c r="CE10" s="5">
        <f t="shared" ref="CE10:CE63" si="44">CC$8*$H10</f>
        <v>81.29402767659397</v>
      </c>
      <c r="CG10" s="5">
        <f t="shared" ref="CG10:CG63" si="45">$F10*CH$8</f>
        <v>0</v>
      </c>
      <c r="CH10" s="5">
        <f t="shared" ref="CH10:CH63" si="46">$G10*CH$8</f>
        <v>10460.13080558207</v>
      </c>
      <c r="CI10" s="5">
        <f t="shared" ref="CI10:CI63" si="47">CG10+CH10</f>
        <v>10460.13080558207</v>
      </c>
      <c r="CJ10" s="5">
        <f t="shared" ref="CJ10:CJ63" si="48">CH$8*$H10</f>
        <v>3490.2331205332912</v>
      </c>
      <c r="CL10" s="5">
        <f t="shared" ref="CL10:CL63" si="49">$F10*CM$8</f>
        <v>0</v>
      </c>
      <c r="CM10" s="5">
        <f t="shared" ref="CM10:CM63" si="50">$G10*CM$8</f>
        <v>12068.837107577103</v>
      </c>
      <c r="CN10" s="5">
        <f t="shared" ref="CN10:CN63" si="51">CL10+CM10</f>
        <v>12068.837107577103</v>
      </c>
      <c r="CO10" s="5">
        <f t="shared" ref="CO10:CO63" si="52">CM$8*$H10</f>
        <v>4027.0103483512617</v>
      </c>
      <c r="CQ10" s="5">
        <f t="shared" ref="CQ10:CQ63" si="53">$F10*CR$8</f>
        <v>0</v>
      </c>
      <c r="CR10" s="5">
        <f t="shared" ref="CR10:CR63" si="54">$G10*CR$8</f>
        <v>123498.27626938965</v>
      </c>
      <c r="CS10" s="5">
        <f t="shared" ref="CS10:CS63" si="55">CQ10+CR10</f>
        <v>123498.27626938965</v>
      </c>
      <c r="CT10" s="5">
        <f t="shared" ref="CT10:CT63" si="56">CR$8*$H10</f>
        <v>41207.684891872494</v>
      </c>
      <c r="CV10" s="5">
        <f t="shared" ref="CV10:CV63" si="57">$F10*CW$8</f>
        <v>0</v>
      </c>
      <c r="CW10" s="5">
        <f t="shared" ref="CW10:CW63" si="58">$G10*CW$8</f>
        <v>112026.80911773771</v>
      </c>
      <c r="CX10" s="5">
        <f t="shared" ref="CX10:CX63" si="59">CV10+CW10</f>
        <v>112026.80911773771</v>
      </c>
      <c r="CY10" s="5">
        <f t="shared" ref="CY10:CY63" si="60">CW$8*$H10</f>
        <v>37379.99904950818</v>
      </c>
      <c r="DA10" s="5">
        <f t="shared" ref="DA10:DA63" si="61">$F10*DB$8</f>
        <v>0</v>
      </c>
      <c r="DB10" s="5">
        <f t="shared" ref="DB10:DB63" si="62">$G10*DB$8</f>
        <v>11160.770033494484</v>
      </c>
      <c r="DC10" s="5">
        <f t="shared" ref="DC10:DC63" si="63">DA10+DB10</f>
        <v>11160.770033494484</v>
      </c>
      <c r="DD10" s="5">
        <f t="shared" ref="DD10:DD63" si="64">DB$8*$H10</f>
        <v>3724.0154970882563</v>
      </c>
      <c r="DF10" s="5">
        <f t="shared" ref="DF10:DF63" si="65">$F10*DG$8</f>
        <v>0</v>
      </c>
      <c r="DG10" s="5">
        <f t="shared" ref="DG10:DG63" si="66">$G10*DG$8</f>
        <v>386382.97572002793</v>
      </c>
      <c r="DH10" s="5">
        <f t="shared" ref="DH10:DH63" si="67">DF10+DG10</f>
        <v>386382.97572002793</v>
      </c>
      <c r="DI10" s="5">
        <f t="shared" ref="DI10:DI63" si="68">DG$8*$H10</f>
        <v>128924.45459177114</v>
      </c>
      <c r="DK10" s="5">
        <f t="shared" ref="DK10:DK63" si="69">$F10*DL$8</f>
        <v>0</v>
      </c>
      <c r="DL10" s="5">
        <f t="shared" ref="DL10:DL63" si="70">$G10*DL$8</f>
        <v>798799.42991877894</v>
      </c>
      <c r="DM10" s="5">
        <f t="shared" ref="DM10:DM63" si="71">DK10+DL10</f>
        <v>798799.42991877894</v>
      </c>
      <c r="DN10" s="5">
        <f t="shared" ref="DN10:DN63" si="72">DL$8*$H10</f>
        <v>266535.50311988586</v>
      </c>
      <c r="DP10" s="5">
        <f t="shared" ref="DP10:DP63" si="73">$F10*DQ$8</f>
        <v>0</v>
      </c>
      <c r="DQ10" s="5">
        <f t="shared" ref="DQ10:DQ63" si="74">$G10*DQ$8</f>
        <v>156.69424418395457</v>
      </c>
      <c r="DR10" s="5">
        <f t="shared" ref="DR10:DR63" si="75">DP10+DQ10</f>
        <v>156.69424418395457</v>
      </c>
      <c r="DS10" s="5">
        <f t="shared" ref="DS10:DS63" si="76">DQ$8*$H10</f>
        <v>52.284187551069174</v>
      </c>
      <c r="DU10" s="5">
        <f t="shared" ref="DU10:DU63" si="77">$F10*DV$8</f>
        <v>0</v>
      </c>
      <c r="DV10" s="5">
        <f t="shared" ref="DV10:DV63" si="78">$G10*DV$8</f>
        <v>0</v>
      </c>
      <c r="DW10" s="5">
        <f t="shared" ref="DW10:DW63" si="79">DU10+DV10</f>
        <v>0</v>
      </c>
      <c r="DX10" s="5">
        <f t="shared" ref="DX10:DX63" si="80">DV$8*$H10</f>
        <v>0</v>
      </c>
      <c r="ED10" s="5"/>
      <c r="EE10" s="5"/>
      <c r="EF10" s="5"/>
      <c r="EG10" s="5"/>
      <c r="EH10" s="5"/>
      <c r="EI10" s="5"/>
    </row>
    <row r="11" spans="1:139" ht="12" customHeight="1" x14ac:dyDescent="0.2">
      <c r="A11" s="28">
        <v>45748</v>
      </c>
      <c r="C11" s="3">
        <v>0</v>
      </c>
      <c r="D11" s="3">
        <v>1298700</v>
      </c>
      <c r="E11" s="3">
        <v>285756</v>
      </c>
      <c r="F11" s="3">
        <v>4160000</v>
      </c>
      <c r="G11" s="3">
        <v>2252650</v>
      </c>
      <c r="H11" s="3">
        <v>751642</v>
      </c>
      <c r="I11" s="3">
        <v>1175000</v>
      </c>
      <c r="J11" s="3">
        <v>238625</v>
      </c>
      <c r="K11" s="3">
        <v>166259</v>
      </c>
      <c r="L11" s="3">
        <v>0</v>
      </c>
      <c r="M11" s="3">
        <v>340375</v>
      </c>
      <c r="N11" s="3">
        <v>345072</v>
      </c>
      <c r="O11" s="3">
        <f t="shared" ref="O11:O63" si="81">C11+F11+I11+L11</f>
        <v>5335000</v>
      </c>
      <c r="P11" s="3">
        <f t="shared" si="0"/>
        <v>4130350</v>
      </c>
      <c r="Q11" s="3">
        <f t="shared" si="1"/>
        <v>9465350</v>
      </c>
      <c r="R11" s="3">
        <f t="shared" si="2"/>
        <v>1548729</v>
      </c>
      <c r="T11" s="3">
        <f>'10-Year FR Revised'!H10</f>
        <v>1174999.9999999998</v>
      </c>
      <c r="U11" s="3">
        <f>'10-Year FR Revised'!I10</f>
        <v>238624.99999999997</v>
      </c>
      <c r="V11" s="5">
        <f t="shared" si="3"/>
        <v>1413624.9999999998</v>
      </c>
      <c r="W11" s="3">
        <f>'10-Year FR Revised'!K10</f>
        <v>166258.99999999994</v>
      </c>
      <c r="Y11" s="5">
        <f>AD11+AI11</f>
        <v>0</v>
      </c>
      <c r="Z11" s="5">
        <f t="shared" si="4"/>
        <v>1298700</v>
      </c>
      <c r="AA11" s="5">
        <f t="shared" si="5"/>
        <v>1298700</v>
      </c>
      <c r="AB11" s="5">
        <f t="shared" si="4"/>
        <v>285756</v>
      </c>
      <c r="AD11" s="5">
        <f>C11*$AE$7</f>
        <v>0</v>
      </c>
      <c r="AE11" s="5">
        <f t="shared" si="6"/>
        <v>215340.82362000001</v>
      </c>
      <c r="AF11" s="5">
        <f t="shared" si="7"/>
        <v>215340.82362000001</v>
      </c>
      <c r="AG11" s="5">
        <f t="shared" si="8"/>
        <v>47381.945325599998</v>
      </c>
      <c r="AI11" s="5">
        <f>C11*$AJ$7</f>
        <v>0</v>
      </c>
      <c r="AJ11" s="5">
        <f t="shared" si="9"/>
        <v>1083359.1763800001</v>
      </c>
      <c r="AK11" s="5">
        <f t="shared" si="10"/>
        <v>1083359.1763800001</v>
      </c>
      <c r="AL11" s="5">
        <f t="shared" si="11"/>
        <v>238374.05467440002</v>
      </c>
      <c r="AN11" s="5">
        <f>'20-Yrs Acad Revised'!H10</f>
        <v>405768.90654875024</v>
      </c>
      <c r="AO11" s="5">
        <f>'20-Yrs Acad Revised'!I10</f>
        <v>219724.83830217362</v>
      </c>
      <c r="AP11" s="5">
        <f t="shared" si="12"/>
        <v>625493.74485092389</v>
      </c>
      <c r="AQ11" s="5">
        <f>'20-Yrs Acad Revised'!K10</f>
        <v>73315.613571181675</v>
      </c>
      <c r="AS11" s="3">
        <f t="shared" si="13"/>
        <v>3754231.0934512499</v>
      </c>
      <c r="AT11" s="3">
        <f t="shared" si="14"/>
        <v>2032925.1616978268</v>
      </c>
      <c r="AU11" s="5">
        <f t="shared" si="15"/>
        <v>5787156.2551490767</v>
      </c>
      <c r="AV11" s="3">
        <f t="shared" si="16"/>
        <v>678326.38642881834</v>
      </c>
      <c r="AX11" s="5">
        <f t="shared" si="17"/>
        <v>221214.10849075334</v>
      </c>
      <c r="AY11" s="5">
        <f t="shared" si="18"/>
        <v>119787.9715124268</v>
      </c>
      <c r="AZ11" s="5">
        <f t="shared" si="19"/>
        <v>341002.08000318013</v>
      </c>
      <c r="BA11" s="5">
        <f t="shared" si="20"/>
        <v>39969.667051492019</v>
      </c>
      <c r="BC11" s="5">
        <f t="shared" si="21"/>
        <v>671339.2081130466</v>
      </c>
      <c r="BD11" s="5">
        <f t="shared" si="22"/>
        <v>363531.79498938809</v>
      </c>
      <c r="BE11" s="5">
        <f t="shared" si="23"/>
        <v>1034871.0031024347</v>
      </c>
      <c r="BF11" s="5">
        <f t="shared" si="24"/>
        <v>121299.69833281408</v>
      </c>
      <c r="BH11" s="5">
        <f t="shared" si="25"/>
        <v>85012.86411202664</v>
      </c>
      <c r="BI11" s="5">
        <f t="shared" si="26"/>
        <v>46034.670274508848</v>
      </c>
      <c r="BJ11" s="5">
        <f t="shared" si="27"/>
        <v>131047.5343865355</v>
      </c>
      <c r="BK11" s="5">
        <f t="shared" si="28"/>
        <v>15360.394040118252</v>
      </c>
      <c r="BM11" s="5">
        <f t="shared" si="29"/>
        <v>930.64518879305251</v>
      </c>
      <c r="BN11" s="5">
        <f t="shared" si="30"/>
        <v>503.94660685929563</v>
      </c>
      <c r="BO11" s="5">
        <f t="shared" si="31"/>
        <v>1434.5917956523481</v>
      </c>
      <c r="BP11" s="5">
        <f t="shared" si="32"/>
        <v>168.15192571990087</v>
      </c>
      <c r="BR11" s="5">
        <f t="shared" si="33"/>
        <v>1477.6019182218065</v>
      </c>
      <c r="BS11" s="5">
        <f t="shared" si="34"/>
        <v>800.12499064479618</v>
      </c>
      <c r="BT11" s="5">
        <f t="shared" si="35"/>
        <v>2277.7269088666026</v>
      </c>
      <c r="BU11" s="5">
        <f t="shared" si="36"/>
        <v>266.9778031288642</v>
      </c>
      <c r="BW11" s="5">
        <f t="shared" si="37"/>
        <v>87661.834644468865</v>
      </c>
      <c r="BX11" s="5">
        <f t="shared" si="38"/>
        <v>47469.094185543938</v>
      </c>
      <c r="BY11" s="5">
        <f t="shared" si="39"/>
        <v>135130.9288300128</v>
      </c>
      <c r="BZ11" s="5">
        <f t="shared" si="40"/>
        <v>15839.018441307178</v>
      </c>
      <c r="CB11" s="5">
        <f t="shared" si="41"/>
        <v>449.92583588281508</v>
      </c>
      <c r="CC11" s="5">
        <f t="shared" si="42"/>
        <v>243.63592168303447</v>
      </c>
      <c r="CD11" s="5">
        <f t="shared" si="43"/>
        <v>693.56175756584958</v>
      </c>
      <c r="CE11" s="5">
        <f t="shared" si="44"/>
        <v>81.29402767659397</v>
      </c>
      <c r="CG11" s="5">
        <f t="shared" si="45"/>
        <v>19316.868644139751</v>
      </c>
      <c r="CH11" s="5">
        <f t="shared" si="46"/>
        <v>10460.13080558207</v>
      </c>
      <c r="CI11" s="5">
        <f t="shared" si="47"/>
        <v>29776.999449721821</v>
      </c>
      <c r="CJ11" s="5">
        <f t="shared" si="48"/>
        <v>3490.2331205332912</v>
      </c>
      <c r="CL11" s="5">
        <f t="shared" si="49"/>
        <v>22287.688885322066</v>
      </c>
      <c r="CM11" s="5">
        <f t="shared" si="50"/>
        <v>12068.837107577103</v>
      </c>
      <c r="CN11" s="5">
        <f t="shared" si="51"/>
        <v>34356.525992899173</v>
      </c>
      <c r="CO11" s="5">
        <f t="shared" si="52"/>
        <v>4027.0103483512617</v>
      </c>
      <c r="CQ11" s="5">
        <f t="shared" si="53"/>
        <v>228065.97974858986</v>
      </c>
      <c r="CR11" s="5">
        <f t="shared" si="54"/>
        <v>123498.27626938965</v>
      </c>
      <c r="CS11" s="5">
        <f t="shared" si="55"/>
        <v>351564.25601797953</v>
      </c>
      <c r="CT11" s="5">
        <f t="shared" si="56"/>
        <v>41207.684891872494</v>
      </c>
      <c r="CV11" s="5">
        <f t="shared" si="57"/>
        <v>206881.4622465935</v>
      </c>
      <c r="CW11" s="5">
        <f t="shared" si="58"/>
        <v>112026.80911773771</v>
      </c>
      <c r="CX11" s="5">
        <f t="shared" si="59"/>
        <v>318908.27136433119</v>
      </c>
      <c r="CY11" s="5">
        <f t="shared" si="60"/>
        <v>37379.99904950818</v>
      </c>
      <c r="DA11" s="5">
        <f t="shared" si="61"/>
        <v>20610.748824423259</v>
      </c>
      <c r="DB11" s="5">
        <f t="shared" si="62"/>
        <v>11160.770033494484</v>
      </c>
      <c r="DC11" s="5">
        <f t="shared" si="63"/>
        <v>31771.518857917741</v>
      </c>
      <c r="DD11" s="5">
        <f t="shared" si="64"/>
        <v>3724.0154970882563</v>
      </c>
      <c r="DF11" s="5">
        <f t="shared" si="65"/>
        <v>713538.80052174826</v>
      </c>
      <c r="DG11" s="5">
        <f t="shared" si="66"/>
        <v>386382.97572002793</v>
      </c>
      <c r="DH11" s="5">
        <f t="shared" si="67"/>
        <v>1099921.7762417761</v>
      </c>
      <c r="DI11" s="5">
        <f t="shared" si="68"/>
        <v>128924.45459177114</v>
      </c>
      <c r="DK11" s="5">
        <f t="shared" si="69"/>
        <v>1475153.9868431049</v>
      </c>
      <c r="DL11" s="5">
        <f t="shared" si="70"/>
        <v>798799.42991877894</v>
      </c>
      <c r="DM11" s="5">
        <f t="shared" si="71"/>
        <v>2273953.416761884</v>
      </c>
      <c r="DN11" s="5">
        <f t="shared" si="72"/>
        <v>266535.50311988586</v>
      </c>
      <c r="DP11" s="5">
        <f t="shared" si="73"/>
        <v>289.36943413546311</v>
      </c>
      <c r="DQ11" s="5">
        <f t="shared" si="74"/>
        <v>156.69424418395457</v>
      </c>
      <c r="DR11" s="5">
        <f t="shared" si="75"/>
        <v>446.0636783194177</v>
      </c>
      <c r="DS11" s="5">
        <f t="shared" si="76"/>
        <v>52.284187551069174</v>
      </c>
      <c r="DU11" s="5">
        <f t="shared" si="77"/>
        <v>0</v>
      </c>
      <c r="DV11" s="5">
        <f t="shared" si="78"/>
        <v>0</v>
      </c>
      <c r="DW11" s="5">
        <f t="shared" si="79"/>
        <v>0</v>
      </c>
      <c r="DX11" s="5">
        <f t="shared" si="80"/>
        <v>0</v>
      </c>
      <c r="ED11" s="5"/>
      <c r="EE11" s="5"/>
      <c r="EF11" s="5"/>
      <c r="EG11" s="5"/>
      <c r="EH11" s="5"/>
      <c r="EI11" s="5"/>
    </row>
    <row r="12" spans="1:139" ht="12" customHeight="1" x14ac:dyDescent="0.2">
      <c r="A12" s="28">
        <v>45931</v>
      </c>
      <c r="D12" s="3">
        <v>1298700</v>
      </c>
      <c r="E12" s="3">
        <v>285756</v>
      </c>
      <c r="G12" s="3">
        <v>2148650</v>
      </c>
      <c r="H12" s="3">
        <v>751642</v>
      </c>
      <c r="J12" s="3">
        <v>209250</v>
      </c>
      <c r="K12" s="3">
        <v>166259</v>
      </c>
      <c r="M12" s="3">
        <v>340375</v>
      </c>
      <c r="N12" s="3">
        <v>345072</v>
      </c>
      <c r="P12" s="3">
        <f t="shared" si="0"/>
        <v>3996975</v>
      </c>
      <c r="Q12" s="3">
        <f t="shared" si="1"/>
        <v>3996975</v>
      </c>
      <c r="R12" s="3">
        <f t="shared" si="2"/>
        <v>1548729</v>
      </c>
      <c r="T12" s="3">
        <f>'10-Year FR Revised'!H11</f>
        <v>0</v>
      </c>
      <c r="U12" s="3">
        <f>'10-Year FR Revised'!I11</f>
        <v>209249.99999999997</v>
      </c>
      <c r="V12" s="5">
        <f t="shared" si="3"/>
        <v>209249.99999999997</v>
      </c>
      <c r="W12" s="3">
        <f>'10-Year FR Revised'!K11</f>
        <v>166258.99999999994</v>
      </c>
      <c r="Z12" s="5">
        <f t="shared" si="4"/>
        <v>1298700</v>
      </c>
      <c r="AA12" s="5">
        <f t="shared" si="5"/>
        <v>1298700</v>
      </c>
      <c r="AB12" s="5">
        <f t="shared" si="4"/>
        <v>285756</v>
      </c>
      <c r="AD12" s="5"/>
      <c r="AE12" s="5">
        <f t="shared" si="6"/>
        <v>215340.82362000001</v>
      </c>
      <c r="AF12" s="5">
        <f t="shared" si="7"/>
        <v>215340.82362000001</v>
      </c>
      <c r="AG12" s="5">
        <f t="shared" si="8"/>
        <v>47381.945325599998</v>
      </c>
      <c r="AJ12" s="5">
        <f t="shared" si="9"/>
        <v>1083359.1763800001</v>
      </c>
      <c r="AK12" s="5">
        <f t="shared" si="10"/>
        <v>1083359.1763800001</v>
      </c>
      <c r="AL12" s="5">
        <f t="shared" si="11"/>
        <v>238374.05467440002</v>
      </c>
      <c r="AN12" s="5">
        <f>'20-Yrs Acad Revised'!H11</f>
        <v>0</v>
      </c>
      <c r="AO12" s="5">
        <f>'20-Yrs Acad Revised'!I11</f>
        <v>209580.61563845485</v>
      </c>
      <c r="AP12" s="5">
        <f t="shared" si="12"/>
        <v>209580.61563845485</v>
      </c>
      <c r="AQ12" s="5">
        <f>'20-Yrs Acad Revised'!K11</f>
        <v>73315.613571181675</v>
      </c>
      <c r="AS12" s="3">
        <f t="shared" si="13"/>
        <v>0</v>
      </c>
      <c r="AT12" s="3">
        <f t="shared" si="14"/>
        <v>1939069.3843615456</v>
      </c>
      <c r="AU12" s="5">
        <f t="shared" si="15"/>
        <v>1939069.3843615456</v>
      </c>
      <c r="AV12" s="3">
        <f t="shared" si="16"/>
        <v>678326.38642881834</v>
      </c>
      <c r="AX12" s="5">
        <f t="shared" si="17"/>
        <v>0</v>
      </c>
      <c r="AY12" s="5">
        <f t="shared" si="18"/>
        <v>114257.61880015796</v>
      </c>
      <c r="AZ12" s="5">
        <f t="shared" si="19"/>
        <v>114257.61880015796</v>
      </c>
      <c r="BA12" s="5">
        <f t="shared" si="20"/>
        <v>39969.667051492019</v>
      </c>
      <c r="BC12" s="5">
        <f t="shared" si="21"/>
        <v>0</v>
      </c>
      <c r="BD12" s="5">
        <f t="shared" si="22"/>
        <v>346748.31478656194</v>
      </c>
      <c r="BE12" s="5">
        <f t="shared" si="23"/>
        <v>346748.31478656194</v>
      </c>
      <c r="BF12" s="5">
        <f t="shared" si="24"/>
        <v>121299.69833281408</v>
      </c>
      <c r="BH12" s="5">
        <f t="shared" si="25"/>
        <v>0</v>
      </c>
      <c r="BI12" s="5">
        <f t="shared" si="26"/>
        <v>43909.348671708183</v>
      </c>
      <c r="BJ12" s="5">
        <f t="shared" si="27"/>
        <v>43909.348671708183</v>
      </c>
      <c r="BK12" s="5">
        <f t="shared" si="28"/>
        <v>15360.394040118252</v>
      </c>
      <c r="BM12" s="5">
        <f t="shared" si="29"/>
        <v>0</v>
      </c>
      <c r="BN12" s="5">
        <f t="shared" si="30"/>
        <v>480.6804771394693</v>
      </c>
      <c r="BO12" s="5">
        <f t="shared" si="31"/>
        <v>480.6804771394693</v>
      </c>
      <c r="BP12" s="5">
        <f t="shared" si="32"/>
        <v>168.15192571990087</v>
      </c>
      <c r="BR12" s="5">
        <f t="shared" si="33"/>
        <v>0</v>
      </c>
      <c r="BS12" s="5">
        <f t="shared" si="34"/>
        <v>763.1849426892511</v>
      </c>
      <c r="BT12" s="5">
        <f t="shared" si="35"/>
        <v>763.1849426892511</v>
      </c>
      <c r="BU12" s="5">
        <f t="shared" si="36"/>
        <v>266.9778031288642</v>
      </c>
      <c r="BW12" s="5">
        <f t="shared" si="37"/>
        <v>0</v>
      </c>
      <c r="BX12" s="5">
        <f t="shared" si="38"/>
        <v>45277.548319432215</v>
      </c>
      <c r="BY12" s="5">
        <f t="shared" si="39"/>
        <v>45277.548319432215</v>
      </c>
      <c r="BZ12" s="5">
        <f t="shared" si="40"/>
        <v>15839.018441307178</v>
      </c>
      <c r="CB12" s="5">
        <f t="shared" si="41"/>
        <v>0</v>
      </c>
      <c r="CC12" s="5">
        <f t="shared" si="42"/>
        <v>232.3877757859641</v>
      </c>
      <c r="CD12" s="5">
        <f t="shared" si="43"/>
        <v>232.3877757859641</v>
      </c>
      <c r="CE12" s="5">
        <f t="shared" si="44"/>
        <v>81.29402767659397</v>
      </c>
      <c r="CG12" s="5">
        <f t="shared" si="45"/>
        <v>0</v>
      </c>
      <c r="CH12" s="5">
        <f t="shared" si="46"/>
        <v>9977.2090894785761</v>
      </c>
      <c r="CI12" s="5">
        <f t="shared" si="47"/>
        <v>9977.2090894785761</v>
      </c>
      <c r="CJ12" s="5">
        <f t="shared" si="48"/>
        <v>3490.2331205332912</v>
      </c>
      <c r="CL12" s="5">
        <f t="shared" si="49"/>
        <v>0</v>
      </c>
      <c r="CM12" s="5">
        <f t="shared" si="50"/>
        <v>11511.644885444051</v>
      </c>
      <c r="CN12" s="5">
        <f t="shared" si="51"/>
        <v>11511.644885444051</v>
      </c>
      <c r="CO12" s="5">
        <f t="shared" si="52"/>
        <v>4027.0103483512617</v>
      </c>
      <c r="CQ12" s="5">
        <f t="shared" si="53"/>
        <v>0</v>
      </c>
      <c r="CR12" s="5">
        <f t="shared" si="54"/>
        <v>117796.62677567491</v>
      </c>
      <c r="CS12" s="5">
        <f t="shared" si="55"/>
        <v>117796.62677567491</v>
      </c>
      <c r="CT12" s="5">
        <f t="shared" si="56"/>
        <v>41207.684891872494</v>
      </c>
      <c r="CV12" s="5">
        <f t="shared" si="57"/>
        <v>0</v>
      </c>
      <c r="CW12" s="5">
        <f t="shared" si="58"/>
        <v>106854.77256157287</v>
      </c>
      <c r="CX12" s="5">
        <f t="shared" si="59"/>
        <v>106854.77256157287</v>
      </c>
      <c r="CY12" s="5">
        <f t="shared" si="60"/>
        <v>37379.99904950818</v>
      </c>
      <c r="DA12" s="5">
        <f t="shared" si="61"/>
        <v>0</v>
      </c>
      <c r="DB12" s="5">
        <f t="shared" si="62"/>
        <v>10645.501312883902</v>
      </c>
      <c r="DC12" s="5">
        <f t="shared" si="63"/>
        <v>10645.501312883902</v>
      </c>
      <c r="DD12" s="5">
        <f t="shared" si="64"/>
        <v>3724.0154970882563</v>
      </c>
      <c r="DF12" s="5">
        <f t="shared" si="65"/>
        <v>0</v>
      </c>
      <c r="DG12" s="5">
        <f t="shared" si="66"/>
        <v>368544.50570698426</v>
      </c>
      <c r="DH12" s="5">
        <f t="shared" si="67"/>
        <v>368544.50570698426</v>
      </c>
      <c r="DI12" s="5">
        <f t="shared" si="68"/>
        <v>128924.45459177114</v>
      </c>
      <c r="DK12" s="5">
        <f t="shared" si="69"/>
        <v>0</v>
      </c>
      <c r="DL12" s="5">
        <f t="shared" si="70"/>
        <v>761920.58024770138</v>
      </c>
      <c r="DM12" s="5">
        <f t="shared" si="71"/>
        <v>761920.58024770138</v>
      </c>
      <c r="DN12" s="5">
        <f t="shared" si="72"/>
        <v>266535.50311988586</v>
      </c>
      <c r="DP12" s="5">
        <f t="shared" si="73"/>
        <v>0</v>
      </c>
      <c r="DQ12" s="5">
        <f t="shared" si="74"/>
        <v>149.46000833056797</v>
      </c>
      <c r="DR12" s="5">
        <f t="shared" si="75"/>
        <v>149.46000833056797</v>
      </c>
      <c r="DS12" s="5">
        <f t="shared" si="76"/>
        <v>52.284187551069174</v>
      </c>
      <c r="DU12" s="5">
        <f t="shared" si="77"/>
        <v>0</v>
      </c>
      <c r="DV12" s="5">
        <f t="shared" si="78"/>
        <v>0</v>
      </c>
      <c r="DW12" s="5">
        <f t="shared" si="79"/>
        <v>0</v>
      </c>
      <c r="DX12" s="5">
        <f t="shared" si="80"/>
        <v>0</v>
      </c>
      <c r="ED12" s="5"/>
      <c r="EE12" s="5"/>
      <c r="EF12" s="5"/>
      <c r="EG12" s="5"/>
      <c r="EH12" s="5"/>
      <c r="EI12" s="5"/>
    </row>
    <row r="13" spans="1:139" ht="12" customHeight="1" x14ac:dyDescent="0.2">
      <c r="A13" s="28">
        <v>46113</v>
      </c>
      <c r="B13" s="29"/>
      <c r="C13" s="3">
        <v>0</v>
      </c>
      <c r="D13" s="3">
        <v>1298700</v>
      </c>
      <c r="E13" s="3">
        <v>285756</v>
      </c>
      <c r="F13" s="3">
        <v>4370000</v>
      </c>
      <c r="G13" s="3">
        <v>2148650</v>
      </c>
      <c r="H13" s="3">
        <v>751642</v>
      </c>
      <c r="I13" s="3">
        <v>1230000</v>
      </c>
      <c r="J13" s="3">
        <v>209250</v>
      </c>
      <c r="K13" s="3">
        <v>166259</v>
      </c>
      <c r="L13" s="3">
        <v>0</v>
      </c>
      <c r="M13" s="3">
        <v>340375</v>
      </c>
      <c r="N13" s="3">
        <v>345072</v>
      </c>
      <c r="O13" s="3">
        <f t="shared" si="81"/>
        <v>5600000</v>
      </c>
      <c r="P13" s="3">
        <f t="shared" si="0"/>
        <v>3996975</v>
      </c>
      <c r="Q13" s="3">
        <f t="shared" si="1"/>
        <v>9596975</v>
      </c>
      <c r="R13" s="3">
        <f t="shared" si="2"/>
        <v>1548729</v>
      </c>
      <c r="T13" s="3">
        <f>'10-Year FR Revised'!H12</f>
        <v>1229999.9999999998</v>
      </c>
      <c r="U13" s="3">
        <f>'10-Year FR Revised'!I12</f>
        <v>209249.99999999997</v>
      </c>
      <c r="V13" s="5">
        <f t="shared" si="3"/>
        <v>1439249.9999999998</v>
      </c>
      <c r="W13" s="3">
        <f>'10-Year FR Revised'!K12</f>
        <v>166258.99999999994</v>
      </c>
      <c r="Y13" s="5">
        <f>AD13+AI13</f>
        <v>0</v>
      </c>
      <c r="Z13" s="5">
        <f t="shared" si="4"/>
        <v>1298700</v>
      </c>
      <c r="AA13" s="5">
        <f t="shared" si="5"/>
        <v>1298700</v>
      </c>
      <c r="AB13" s="5">
        <f t="shared" si="4"/>
        <v>285756</v>
      </c>
      <c r="AD13" s="5">
        <f>C13*$AE$7</f>
        <v>0</v>
      </c>
      <c r="AE13" s="5">
        <f t="shared" si="6"/>
        <v>215340.82362000001</v>
      </c>
      <c r="AF13" s="5">
        <f t="shared" si="7"/>
        <v>215340.82362000001</v>
      </c>
      <c r="AG13" s="5">
        <f t="shared" si="8"/>
        <v>47381.945325599998</v>
      </c>
      <c r="AI13" s="5">
        <f>C13*$AJ$7</f>
        <v>0</v>
      </c>
      <c r="AJ13" s="5">
        <f t="shared" si="9"/>
        <v>1083359.1763800001</v>
      </c>
      <c r="AK13" s="5">
        <f t="shared" si="10"/>
        <v>1083359.1763800001</v>
      </c>
      <c r="AL13" s="5">
        <f t="shared" si="11"/>
        <v>238374.05467440002</v>
      </c>
      <c r="AN13" s="5">
        <f>'20-Yrs Acad Revised'!H12</f>
        <v>426252.43308125931</v>
      </c>
      <c r="AO13" s="5">
        <f>'20-Yrs Acad Revised'!I12</f>
        <v>209580.61563845485</v>
      </c>
      <c r="AP13" s="5">
        <f t="shared" si="12"/>
        <v>635833.04871971416</v>
      </c>
      <c r="AQ13" s="5">
        <f>'20-Yrs Acad Revised'!K12</f>
        <v>73315.613571181675</v>
      </c>
      <c r="AS13" s="3">
        <f t="shared" si="13"/>
        <v>3943747.5669187414</v>
      </c>
      <c r="AT13" s="3">
        <f t="shared" si="14"/>
        <v>1939069.3843615456</v>
      </c>
      <c r="AU13" s="5">
        <f t="shared" si="15"/>
        <v>5882816.9512802865</v>
      </c>
      <c r="AV13" s="3">
        <f t="shared" si="16"/>
        <v>678326.38642881834</v>
      </c>
      <c r="AX13" s="5">
        <f t="shared" si="17"/>
        <v>232381.16685206539</v>
      </c>
      <c r="AY13" s="5">
        <f t="shared" si="18"/>
        <v>114257.61880015796</v>
      </c>
      <c r="AZ13" s="5">
        <f t="shared" si="19"/>
        <v>346638.78565222333</v>
      </c>
      <c r="BA13" s="5">
        <f t="shared" si="20"/>
        <v>39969.667051492019</v>
      </c>
      <c r="BC13" s="5">
        <f t="shared" si="21"/>
        <v>705228.92775336863</v>
      </c>
      <c r="BD13" s="5">
        <f t="shared" si="22"/>
        <v>346748.31478656194</v>
      </c>
      <c r="BE13" s="5">
        <f t="shared" si="23"/>
        <v>1051977.2425399306</v>
      </c>
      <c r="BF13" s="5">
        <f t="shared" si="24"/>
        <v>121299.69833281408</v>
      </c>
      <c r="BH13" s="5">
        <f t="shared" si="25"/>
        <v>89304.3788869126</v>
      </c>
      <c r="BI13" s="5">
        <f t="shared" si="26"/>
        <v>43909.348671708183</v>
      </c>
      <c r="BJ13" s="5">
        <f t="shared" si="27"/>
        <v>133213.7275586208</v>
      </c>
      <c r="BK13" s="5">
        <f t="shared" si="28"/>
        <v>15360.394040118252</v>
      </c>
      <c r="BM13" s="5">
        <f t="shared" si="29"/>
        <v>977.62487380424034</v>
      </c>
      <c r="BN13" s="5">
        <f t="shared" si="30"/>
        <v>480.6804771394693</v>
      </c>
      <c r="BO13" s="5">
        <f t="shared" si="31"/>
        <v>1458.3053509437095</v>
      </c>
      <c r="BP13" s="5">
        <f t="shared" si="32"/>
        <v>168.15192571990087</v>
      </c>
      <c r="BR13" s="5">
        <f t="shared" si="33"/>
        <v>1552.1923996705034</v>
      </c>
      <c r="BS13" s="5">
        <f t="shared" si="34"/>
        <v>763.1849426892511</v>
      </c>
      <c r="BT13" s="5">
        <f t="shared" si="35"/>
        <v>2315.3773423597545</v>
      </c>
      <c r="BU13" s="5">
        <f t="shared" si="36"/>
        <v>266.9778031288642</v>
      </c>
      <c r="BW13" s="5">
        <f t="shared" si="37"/>
        <v>92087.071489502137</v>
      </c>
      <c r="BX13" s="5">
        <f t="shared" si="38"/>
        <v>45277.548319432215</v>
      </c>
      <c r="BY13" s="5">
        <f t="shared" si="39"/>
        <v>137364.61980893434</v>
      </c>
      <c r="BZ13" s="5">
        <f t="shared" si="40"/>
        <v>15839.018441307178</v>
      </c>
      <c r="CB13" s="5">
        <f t="shared" si="41"/>
        <v>472.63843817497644</v>
      </c>
      <c r="CC13" s="5">
        <f t="shared" si="42"/>
        <v>232.3877757859641</v>
      </c>
      <c r="CD13" s="5">
        <f t="shared" si="43"/>
        <v>705.02621396094059</v>
      </c>
      <c r="CE13" s="5">
        <f t="shared" si="44"/>
        <v>81.29402767659397</v>
      </c>
      <c r="CG13" s="5">
        <f t="shared" si="45"/>
        <v>20291.999032425651</v>
      </c>
      <c r="CH13" s="5">
        <f t="shared" si="46"/>
        <v>9977.2090894785761</v>
      </c>
      <c r="CI13" s="5">
        <f t="shared" si="47"/>
        <v>30269.208121904227</v>
      </c>
      <c r="CJ13" s="5">
        <f t="shared" si="48"/>
        <v>3490.2331205332912</v>
      </c>
      <c r="CL13" s="5">
        <f t="shared" si="49"/>
        <v>23412.788564629187</v>
      </c>
      <c r="CM13" s="5">
        <f t="shared" si="50"/>
        <v>11511.644885444051</v>
      </c>
      <c r="CN13" s="5">
        <f t="shared" si="51"/>
        <v>34924.433450073237</v>
      </c>
      <c r="CO13" s="5">
        <f t="shared" si="52"/>
        <v>4027.0103483512617</v>
      </c>
      <c r="CQ13" s="5">
        <f t="shared" si="53"/>
        <v>239578.92584166772</v>
      </c>
      <c r="CR13" s="5">
        <f t="shared" si="54"/>
        <v>117796.62677567491</v>
      </c>
      <c r="CS13" s="5">
        <f t="shared" si="55"/>
        <v>357375.55261734262</v>
      </c>
      <c r="CT13" s="5">
        <f t="shared" si="56"/>
        <v>41207.684891872494</v>
      </c>
      <c r="CV13" s="5">
        <f t="shared" si="57"/>
        <v>217324.9976003879</v>
      </c>
      <c r="CW13" s="5">
        <f t="shared" si="58"/>
        <v>106854.77256157287</v>
      </c>
      <c r="CX13" s="5">
        <f t="shared" si="59"/>
        <v>324179.77016196074</v>
      </c>
      <c r="CY13" s="5">
        <f t="shared" si="60"/>
        <v>37379.99904950818</v>
      </c>
      <c r="DA13" s="5">
        <f t="shared" si="61"/>
        <v>21651.195279502317</v>
      </c>
      <c r="DB13" s="5">
        <f t="shared" si="62"/>
        <v>10645.501312883902</v>
      </c>
      <c r="DC13" s="5">
        <f t="shared" si="63"/>
        <v>32296.696592386219</v>
      </c>
      <c r="DD13" s="5">
        <f t="shared" si="64"/>
        <v>3724.0154970882563</v>
      </c>
      <c r="DF13" s="5">
        <f t="shared" si="65"/>
        <v>749558.78804808657</v>
      </c>
      <c r="DG13" s="5">
        <f t="shared" si="66"/>
        <v>368544.50570698426</v>
      </c>
      <c r="DH13" s="5">
        <f t="shared" si="67"/>
        <v>1118103.2937550708</v>
      </c>
      <c r="DI13" s="5">
        <f t="shared" si="68"/>
        <v>128924.45459177114</v>
      </c>
      <c r="DK13" s="5">
        <f t="shared" si="69"/>
        <v>1549620.8948327811</v>
      </c>
      <c r="DL13" s="5">
        <f t="shared" si="70"/>
        <v>761920.58024770138</v>
      </c>
      <c r="DM13" s="5">
        <f t="shared" si="71"/>
        <v>2311541.4750804827</v>
      </c>
      <c r="DN13" s="5">
        <f t="shared" si="72"/>
        <v>266535.50311988586</v>
      </c>
      <c r="DP13" s="5">
        <f t="shared" si="73"/>
        <v>303.97702576249372</v>
      </c>
      <c r="DQ13" s="5">
        <f t="shared" si="74"/>
        <v>149.46000833056797</v>
      </c>
      <c r="DR13" s="5">
        <f t="shared" si="75"/>
        <v>453.4370340930617</v>
      </c>
      <c r="DS13" s="5">
        <f t="shared" si="76"/>
        <v>52.284187551069174</v>
      </c>
      <c r="DU13" s="5">
        <f t="shared" si="77"/>
        <v>0</v>
      </c>
      <c r="DV13" s="5">
        <f t="shared" si="78"/>
        <v>0</v>
      </c>
      <c r="DW13" s="5">
        <f t="shared" si="79"/>
        <v>0</v>
      </c>
      <c r="DX13" s="5">
        <f t="shared" si="80"/>
        <v>0</v>
      </c>
      <c r="ED13" s="5"/>
      <c r="EE13" s="5"/>
      <c r="EF13" s="5"/>
      <c r="EG13" s="5"/>
      <c r="EH13" s="5"/>
      <c r="EI13" s="5"/>
    </row>
    <row r="14" spans="1:139" ht="12" customHeight="1" x14ac:dyDescent="0.2">
      <c r="A14" s="28">
        <v>46296</v>
      </c>
      <c r="D14" s="3">
        <v>1298700</v>
      </c>
      <c r="E14" s="3">
        <v>285756</v>
      </c>
      <c r="G14" s="3">
        <v>2039400</v>
      </c>
      <c r="H14" s="3">
        <v>751642</v>
      </c>
      <c r="J14" s="3">
        <v>178500</v>
      </c>
      <c r="K14" s="3">
        <v>166259</v>
      </c>
      <c r="M14" s="3">
        <v>340375</v>
      </c>
      <c r="N14" s="3">
        <v>345072</v>
      </c>
      <c r="P14" s="3">
        <f t="shared" si="0"/>
        <v>3856975</v>
      </c>
      <c r="Q14" s="3">
        <f t="shared" si="1"/>
        <v>3856975</v>
      </c>
      <c r="R14" s="3">
        <f t="shared" si="2"/>
        <v>1548729</v>
      </c>
      <c r="T14" s="3">
        <f>'10-Year FR Revised'!H13</f>
        <v>0</v>
      </c>
      <c r="U14" s="3">
        <f>'10-Year FR Revised'!I13</f>
        <v>178499.99999999994</v>
      </c>
      <c r="V14" s="5">
        <f t="shared" si="3"/>
        <v>178499.99999999994</v>
      </c>
      <c r="W14" s="3">
        <f>'10-Year FR Revised'!K13</f>
        <v>166258.99999999994</v>
      </c>
      <c r="Z14" s="5">
        <f t="shared" si="4"/>
        <v>1298700</v>
      </c>
      <c r="AA14" s="5">
        <f t="shared" si="5"/>
        <v>1298700</v>
      </c>
      <c r="AB14" s="5">
        <f t="shared" si="4"/>
        <v>285756</v>
      </c>
      <c r="AD14" s="5"/>
      <c r="AE14" s="5">
        <f t="shared" si="6"/>
        <v>215340.82362000001</v>
      </c>
      <c r="AF14" s="5">
        <f t="shared" si="7"/>
        <v>215340.82362000001</v>
      </c>
      <c r="AG14" s="5">
        <f t="shared" si="8"/>
        <v>47381.945325599998</v>
      </c>
      <c r="AJ14" s="5">
        <f t="shared" si="9"/>
        <v>1083359.1763800001</v>
      </c>
      <c r="AK14" s="5">
        <f t="shared" si="10"/>
        <v>1083359.1763800001</v>
      </c>
      <c r="AL14" s="5">
        <f t="shared" si="11"/>
        <v>238374.05467440002</v>
      </c>
      <c r="AN14" s="5">
        <f>'20-Yrs Acad Revised'!H13</f>
        <v>0</v>
      </c>
      <c r="AO14" s="5">
        <f>'20-Yrs Acad Revised'!I13</f>
        <v>198924.30481142338</v>
      </c>
      <c r="AP14" s="5">
        <f t="shared" si="12"/>
        <v>198924.30481142338</v>
      </c>
      <c r="AQ14" s="5">
        <f>'20-Yrs Acad Revised'!K13</f>
        <v>73315.613571181675</v>
      </c>
      <c r="AS14" s="3">
        <f t="shared" si="13"/>
        <v>0</v>
      </c>
      <c r="AT14" s="3">
        <f t="shared" si="14"/>
        <v>1840475.6951885766</v>
      </c>
      <c r="AU14" s="5">
        <f t="shared" si="15"/>
        <v>1840475.6951885766</v>
      </c>
      <c r="AV14" s="3">
        <f t="shared" si="16"/>
        <v>678326.38642881834</v>
      </c>
      <c r="AX14" s="5">
        <f t="shared" si="17"/>
        <v>0</v>
      </c>
      <c r="AY14" s="5">
        <f t="shared" si="18"/>
        <v>108448.08962885632</v>
      </c>
      <c r="AZ14" s="5">
        <f t="shared" si="19"/>
        <v>108448.08962885632</v>
      </c>
      <c r="BA14" s="5">
        <f t="shared" si="20"/>
        <v>39969.667051492019</v>
      </c>
      <c r="BC14" s="5">
        <f t="shared" si="21"/>
        <v>0</v>
      </c>
      <c r="BD14" s="5">
        <f t="shared" si="22"/>
        <v>329117.59159272769</v>
      </c>
      <c r="BE14" s="5">
        <f t="shared" si="23"/>
        <v>329117.59159272769</v>
      </c>
      <c r="BF14" s="5">
        <f t="shared" si="24"/>
        <v>121299.69833281408</v>
      </c>
      <c r="BH14" s="5">
        <f t="shared" si="25"/>
        <v>0</v>
      </c>
      <c r="BI14" s="5">
        <f t="shared" si="26"/>
        <v>41676.739199535368</v>
      </c>
      <c r="BJ14" s="5">
        <f t="shared" si="27"/>
        <v>41676.739199535368</v>
      </c>
      <c r="BK14" s="5">
        <f t="shared" si="28"/>
        <v>15360.394040118252</v>
      </c>
      <c r="BM14" s="5">
        <f t="shared" si="29"/>
        <v>0</v>
      </c>
      <c r="BN14" s="5">
        <f t="shared" si="30"/>
        <v>456.23985529436328</v>
      </c>
      <c r="BO14" s="5">
        <f t="shared" si="31"/>
        <v>456.23985529436328</v>
      </c>
      <c r="BP14" s="5">
        <f t="shared" si="32"/>
        <v>168.15192571990087</v>
      </c>
      <c r="BR14" s="5">
        <f t="shared" si="33"/>
        <v>0</v>
      </c>
      <c r="BS14" s="5">
        <f t="shared" si="34"/>
        <v>724.38013269748842</v>
      </c>
      <c r="BT14" s="5">
        <f t="shared" si="35"/>
        <v>724.38013269748842</v>
      </c>
      <c r="BU14" s="5">
        <f t="shared" si="36"/>
        <v>266.9778031288642</v>
      </c>
      <c r="BW14" s="5">
        <f t="shared" si="37"/>
        <v>0</v>
      </c>
      <c r="BX14" s="5">
        <f t="shared" si="38"/>
        <v>42975.371532194658</v>
      </c>
      <c r="BY14" s="5">
        <f t="shared" si="39"/>
        <v>42975.371532194658</v>
      </c>
      <c r="BZ14" s="5">
        <f t="shared" si="40"/>
        <v>15839.018441307178</v>
      </c>
      <c r="CB14" s="5">
        <f t="shared" si="41"/>
        <v>0</v>
      </c>
      <c r="CC14" s="5">
        <f t="shared" si="42"/>
        <v>220.57181483158971</v>
      </c>
      <c r="CD14" s="5">
        <f t="shared" si="43"/>
        <v>220.57181483158971</v>
      </c>
      <c r="CE14" s="5">
        <f t="shared" si="44"/>
        <v>81.29402767659397</v>
      </c>
      <c r="CG14" s="5">
        <f t="shared" si="45"/>
        <v>0</v>
      </c>
      <c r="CH14" s="5">
        <f t="shared" si="46"/>
        <v>9469.9091136679344</v>
      </c>
      <c r="CI14" s="5">
        <f t="shared" si="47"/>
        <v>9469.9091136679344</v>
      </c>
      <c r="CJ14" s="5">
        <f t="shared" si="48"/>
        <v>3490.2331205332912</v>
      </c>
      <c r="CL14" s="5">
        <f t="shared" si="49"/>
        <v>0</v>
      </c>
      <c r="CM14" s="5">
        <f t="shared" si="50"/>
        <v>10926.325171328323</v>
      </c>
      <c r="CN14" s="5">
        <f t="shared" si="51"/>
        <v>10926.325171328323</v>
      </c>
      <c r="CO14" s="5">
        <f t="shared" si="52"/>
        <v>4027.0103483512617</v>
      </c>
      <c r="CQ14" s="5">
        <f t="shared" si="53"/>
        <v>0</v>
      </c>
      <c r="CR14" s="5">
        <f t="shared" si="54"/>
        <v>111807.15362963322</v>
      </c>
      <c r="CS14" s="5">
        <f t="shared" si="55"/>
        <v>111807.15362963322</v>
      </c>
      <c r="CT14" s="5">
        <f t="shared" si="56"/>
        <v>41207.684891872494</v>
      </c>
      <c r="CV14" s="5">
        <f t="shared" si="57"/>
        <v>0</v>
      </c>
      <c r="CW14" s="5">
        <f t="shared" si="58"/>
        <v>101421.64762156317</v>
      </c>
      <c r="CX14" s="5">
        <f t="shared" si="59"/>
        <v>101421.64762156317</v>
      </c>
      <c r="CY14" s="5">
        <f t="shared" si="60"/>
        <v>37379.99904950818</v>
      </c>
      <c r="DA14" s="5">
        <f t="shared" si="61"/>
        <v>0</v>
      </c>
      <c r="DB14" s="5">
        <f t="shared" si="62"/>
        <v>10104.221430896345</v>
      </c>
      <c r="DC14" s="5">
        <f t="shared" si="63"/>
        <v>10104.221430896345</v>
      </c>
      <c r="DD14" s="5">
        <f t="shared" si="64"/>
        <v>3724.0154970882563</v>
      </c>
      <c r="DF14" s="5">
        <f t="shared" si="65"/>
        <v>0</v>
      </c>
      <c r="DG14" s="5">
        <f t="shared" si="66"/>
        <v>349805.53600578208</v>
      </c>
      <c r="DH14" s="5">
        <f t="shared" si="67"/>
        <v>349805.53600578208</v>
      </c>
      <c r="DI14" s="5">
        <f t="shared" si="68"/>
        <v>128924.45459177114</v>
      </c>
      <c r="DK14" s="5">
        <f t="shared" si="69"/>
        <v>0</v>
      </c>
      <c r="DL14" s="5">
        <f t="shared" si="70"/>
        <v>723180.05787688179</v>
      </c>
      <c r="DM14" s="5">
        <f t="shared" si="71"/>
        <v>723180.05787688179</v>
      </c>
      <c r="DN14" s="5">
        <f t="shared" si="72"/>
        <v>266535.50311988586</v>
      </c>
      <c r="DP14" s="5">
        <f t="shared" si="73"/>
        <v>0</v>
      </c>
      <c r="DQ14" s="5">
        <f t="shared" si="74"/>
        <v>141.86058268650564</v>
      </c>
      <c r="DR14" s="5">
        <f t="shared" si="75"/>
        <v>141.86058268650564</v>
      </c>
      <c r="DS14" s="5">
        <f t="shared" si="76"/>
        <v>52.284187551069174</v>
      </c>
      <c r="DU14" s="5">
        <f t="shared" si="77"/>
        <v>0</v>
      </c>
      <c r="DV14" s="5">
        <f t="shared" si="78"/>
        <v>0</v>
      </c>
      <c r="DW14" s="5">
        <f t="shared" si="79"/>
        <v>0</v>
      </c>
      <c r="DX14" s="5">
        <f t="shared" si="80"/>
        <v>0</v>
      </c>
      <c r="ED14" s="5"/>
      <c r="EE14" s="5"/>
      <c r="EF14" s="5"/>
      <c r="EG14" s="5"/>
      <c r="EH14" s="5"/>
      <c r="EI14" s="5"/>
    </row>
    <row r="15" spans="1:139" ht="12" customHeight="1" x14ac:dyDescent="0.2">
      <c r="A15" s="28">
        <v>46478</v>
      </c>
      <c r="C15" s="3">
        <v>0</v>
      </c>
      <c r="D15" s="3">
        <v>1298700</v>
      </c>
      <c r="E15" s="3">
        <v>285756</v>
      </c>
      <c r="F15" s="3">
        <v>4585000</v>
      </c>
      <c r="G15" s="3">
        <v>2039400</v>
      </c>
      <c r="H15" s="3">
        <v>751642</v>
      </c>
      <c r="I15" s="3">
        <v>1295000</v>
      </c>
      <c r="J15" s="3">
        <v>178500</v>
      </c>
      <c r="K15" s="3">
        <v>166259</v>
      </c>
      <c r="L15" s="3">
        <v>0</v>
      </c>
      <c r="M15" s="3">
        <v>340375</v>
      </c>
      <c r="N15" s="3">
        <v>345072</v>
      </c>
      <c r="O15" s="3">
        <f t="shared" si="81"/>
        <v>5880000</v>
      </c>
      <c r="P15" s="3">
        <f t="shared" si="0"/>
        <v>3856975</v>
      </c>
      <c r="Q15" s="3">
        <f t="shared" si="1"/>
        <v>9736975</v>
      </c>
      <c r="R15" s="3">
        <f t="shared" si="2"/>
        <v>1548729</v>
      </c>
      <c r="T15" s="3">
        <f>'10-Year FR Revised'!H14</f>
        <v>1295000</v>
      </c>
      <c r="U15" s="3">
        <f>'10-Year FR Revised'!I14</f>
        <v>178499.99999999994</v>
      </c>
      <c r="V15" s="5">
        <f t="shared" si="3"/>
        <v>1473500</v>
      </c>
      <c r="W15" s="3">
        <f>'10-Year FR Revised'!K14</f>
        <v>166258.99999999994</v>
      </c>
      <c r="Y15" s="5">
        <f>AD15+AI15</f>
        <v>0</v>
      </c>
      <c r="Z15" s="5">
        <f t="shared" si="4"/>
        <v>1298700</v>
      </c>
      <c r="AA15" s="5">
        <f t="shared" si="5"/>
        <v>1298700</v>
      </c>
      <c r="AB15" s="5">
        <f t="shared" si="4"/>
        <v>285756</v>
      </c>
      <c r="AD15" s="5">
        <f>C15*$AE$7</f>
        <v>0</v>
      </c>
      <c r="AE15" s="5">
        <f t="shared" si="6"/>
        <v>215340.82362000001</v>
      </c>
      <c r="AF15" s="5">
        <f t="shared" si="7"/>
        <v>215340.82362000001</v>
      </c>
      <c r="AG15" s="5">
        <f t="shared" si="8"/>
        <v>47381.945325599998</v>
      </c>
      <c r="AI15" s="5">
        <f>C15*$AJ$7</f>
        <v>0</v>
      </c>
      <c r="AJ15" s="5">
        <f t="shared" si="9"/>
        <v>1083359.1763800001</v>
      </c>
      <c r="AK15" s="5">
        <f t="shared" si="10"/>
        <v>1083359.1763800001</v>
      </c>
      <c r="AL15" s="5">
        <f t="shared" si="11"/>
        <v>238374.05467440002</v>
      </c>
      <c r="AN15" s="5">
        <f>'20-Yrs Acad Revised'!H14</f>
        <v>447223.6626264471</v>
      </c>
      <c r="AO15" s="5">
        <f>'20-Yrs Acad Revised'!I14</f>
        <v>198924.30481142338</v>
      </c>
      <c r="AP15" s="5">
        <f t="shared" si="12"/>
        <v>646147.96743787045</v>
      </c>
      <c r="AQ15" s="5">
        <f>'20-Yrs Acad Revised'!K14</f>
        <v>73315.613571181675</v>
      </c>
      <c r="AS15" s="3">
        <f t="shared" si="13"/>
        <v>4137776.3373735533</v>
      </c>
      <c r="AT15" s="3">
        <f t="shared" si="14"/>
        <v>1840475.6951885766</v>
      </c>
      <c r="AU15" s="5">
        <f t="shared" si="15"/>
        <v>5978252.0325621301</v>
      </c>
      <c r="AV15" s="3">
        <f t="shared" si="16"/>
        <v>678326.38642881834</v>
      </c>
      <c r="AX15" s="5">
        <f t="shared" si="17"/>
        <v>243814.10755531347</v>
      </c>
      <c r="AY15" s="5">
        <f t="shared" si="18"/>
        <v>108448.08962885632</v>
      </c>
      <c r="AZ15" s="5">
        <f t="shared" si="19"/>
        <v>352262.19718416978</v>
      </c>
      <c r="BA15" s="5">
        <f t="shared" si="20"/>
        <v>39969.667051492019</v>
      </c>
      <c r="BC15" s="5">
        <f t="shared" si="21"/>
        <v>739925.54548036505</v>
      </c>
      <c r="BD15" s="5">
        <f t="shared" si="22"/>
        <v>329117.59159272769</v>
      </c>
      <c r="BE15" s="5">
        <f t="shared" si="23"/>
        <v>1069043.1370730926</v>
      </c>
      <c r="BF15" s="5">
        <f t="shared" si="24"/>
        <v>121299.69833281408</v>
      </c>
      <c r="BH15" s="5">
        <f t="shared" si="25"/>
        <v>93698.07258501013</v>
      </c>
      <c r="BI15" s="5">
        <f t="shared" si="26"/>
        <v>41676.739199535368</v>
      </c>
      <c r="BJ15" s="5">
        <f t="shared" si="27"/>
        <v>135374.81178454548</v>
      </c>
      <c r="BK15" s="5">
        <f t="shared" si="28"/>
        <v>15360.394040118252</v>
      </c>
      <c r="BM15" s="5">
        <f t="shared" si="29"/>
        <v>1025.7231227442658</v>
      </c>
      <c r="BN15" s="5">
        <f t="shared" si="30"/>
        <v>456.23985529436328</v>
      </c>
      <c r="BO15" s="5">
        <f t="shared" si="31"/>
        <v>1481.962978038629</v>
      </c>
      <c r="BP15" s="5">
        <f t="shared" si="32"/>
        <v>168.15192571990087</v>
      </c>
      <c r="BR15" s="5">
        <f t="shared" si="33"/>
        <v>1628.5588449632169</v>
      </c>
      <c r="BS15" s="5">
        <f t="shared" si="34"/>
        <v>724.38013269748842</v>
      </c>
      <c r="BT15" s="5">
        <f t="shared" si="35"/>
        <v>2352.9389776607054</v>
      </c>
      <c r="BU15" s="5">
        <f t="shared" si="36"/>
        <v>266.9778031288642</v>
      </c>
      <c r="BW15" s="5">
        <f t="shared" si="37"/>
        <v>96617.671116560028</v>
      </c>
      <c r="BX15" s="5">
        <f t="shared" si="38"/>
        <v>42975.371532194658</v>
      </c>
      <c r="BY15" s="5">
        <f t="shared" si="39"/>
        <v>139593.04264875469</v>
      </c>
      <c r="BZ15" s="5">
        <f t="shared" si="40"/>
        <v>15839.018441307178</v>
      </c>
      <c r="CB15" s="5">
        <f t="shared" si="41"/>
        <v>495.89181671218927</v>
      </c>
      <c r="CC15" s="5">
        <f t="shared" si="42"/>
        <v>220.57181483158971</v>
      </c>
      <c r="CD15" s="5">
        <f t="shared" si="43"/>
        <v>716.463631543779</v>
      </c>
      <c r="CE15" s="5">
        <f t="shared" si="44"/>
        <v>81.29402767659397</v>
      </c>
      <c r="CG15" s="5">
        <f t="shared" si="45"/>
        <v>21290.346810908835</v>
      </c>
      <c r="CH15" s="5">
        <f t="shared" si="46"/>
        <v>9469.9091136679344</v>
      </c>
      <c r="CI15" s="5">
        <f t="shared" si="47"/>
        <v>30760.25592457677</v>
      </c>
      <c r="CJ15" s="5">
        <f t="shared" si="48"/>
        <v>3490.2331205332912</v>
      </c>
      <c r="CL15" s="5">
        <f t="shared" si="49"/>
        <v>24564.676331538863</v>
      </c>
      <c r="CM15" s="5">
        <f t="shared" si="50"/>
        <v>10926.325171328323</v>
      </c>
      <c r="CN15" s="5">
        <f t="shared" si="51"/>
        <v>35491.001502867184</v>
      </c>
      <c r="CO15" s="5">
        <f t="shared" si="52"/>
        <v>4027.0103483512617</v>
      </c>
      <c r="CQ15" s="5">
        <f t="shared" si="53"/>
        <v>251365.98969886647</v>
      </c>
      <c r="CR15" s="5">
        <f t="shared" si="54"/>
        <v>111807.15362963322</v>
      </c>
      <c r="CS15" s="5">
        <f t="shared" si="55"/>
        <v>363173.14332849969</v>
      </c>
      <c r="CT15" s="5">
        <f t="shared" si="56"/>
        <v>41207.684891872494</v>
      </c>
      <c r="CV15" s="5">
        <f t="shared" si="57"/>
        <v>228017.18855784406</v>
      </c>
      <c r="CW15" s="5">
        <f t="shared" si="58"/>
        <v>101421.64762156317</v>
      </c>
      <c r="CX15" s="5">
        <f t="shared" si="59"/>
        <v>329438.8361794072</v>
      </c>
      <c r="CY15" s="5">
        <f t="shared" si="60"/>
        <v>37379.99904950818</v>
      </c>
      <c r="DA15" s="5">
        <f t="shared" si="61"/>
        <v>22716.414269226116</v>
      </c>
      <c r="DB15" s="5">
        <f t="shared" si="62"/>
        <v>10104.221430896345</v>
      </c>
      <c r="DC15" s="5">
        <f t="shared" si="63"/>
        <v>32820.635700122461</v>
      </c>
      <c r="DD15" s="5">
        <f t="shared" si="64"/>
        <v>3724.0154970882563</v>
      </c>
      <c r="DF15" s="5">
        <f t="shared" si="65"/>
        <v>786436.39432505192</v>
      </c>
      <c r="DG15" s="5">
        <f t="shared" si="66"/>
        <v>349805.53600578208</v>
      </c>
      <c r="DH15" s="5">
        <f t="shared" si="67"/>
        <v>1136241.9303308339</v>
      </c>
      <c r="DI15" s="5">
        <f t="shared" si="68"/>
        <v>128924.45459177114</v>
      </c>
      <c r="DK15" s="5">
        <f t="shared" si="69"/>
        <v>1625860.8244412588</v>
      </c>
      <c r="DL15" s="5">
        <f t="shared" si="70"/>
        <v>723180.05787688179</v>
      </c>
      <c r="DM15" s="5">
        <f t="shared" si="71"/>
        <v>2349040.8823181405</v>
      </c>
      <c r="DN15" s="5">
        <f t="shared" si="72"/>
        <v>266535.50311988586</v>
      </c>
      <c r="DP15" s="5">
        <f t="shared" si="73"/>
        <v>318.93241719016788</v>
      </c>
      <c r="DQ15" s="5">
        <f t="shared" si="74"/>
        <v>141.86058268650564</v>
      </c>
      <c r="DR15" s="5">
        <f t="shared" si="75"/>
        <v>460.79299987667355</v>
      </c>
      <c r="DS15" s="5">
        <f t="shared" si="76"/>
        <v>52.284187551069174</v>
      </c>
      <c r="DU15" s="5">
        <f t="shared" si="77"/>
        <v>0</v>
      </c>
      <c r="DV15" s="5">
        <f t="shared" si="78"/>
        <v>0</v>
      </c>
      <c r="DW15" s="5">
        <f t="shared" si="79"/>
        <v>0</v>
      </c>
      <c r="DX15" s="5">
        <f t="shared" si="80"/>
        <v>0</v>
      </c>
      <c r="ED15" s="5"/>
      <c r="EE15" s="5"/>
      <c r="EF15" s="5"/>
      <c r="EG15" s="5"/>
      <c r="EH15" s="5"/>
      <c r="EI15" s="5"/>
    </row>
    <row r="16" spans="1:139" ht="12" customHeight="1" x14ac:dyDescent="0.2">
      <c r="A16" s="28">
        <v>46661</v>
      </c>
      <c r="D16" s="3">
        <v>1298700</v>
      </c>
      <c r="E16" s="3">
        <v>285756</v>
      </c>
      <c r="G16" s="3">
        <v>1924775</v>
      </c>
      <c r="H16" s="3">
        <v>751642</v>
      </c>
      <c r="J16" s="3">
        <v>146125</v>
      </c>
      <c r="K16" s="3">
        <v>166259</v>
      </c>
      <c r="M16" s="3">
        <v>340375</v>
      </c>
      <c r="N16" s="3">
        <v>345072</v>
      </c>
      <c r="P16" s="3">
        <f t="shared" si="0"/>
        <v>3709975</v>
      </c>
      <c r="Q16" s="3">
        <f t="shared" si="1"/>
        <v>3709975</v>
      </c>
      <c r="R16" s="3">
        <f t="shared" si="2"/>
        <v>1548729</v>
      </c>
      <c r="T16" s="3">
        <f>'10-Year FR Revised'!H15</f>
        <v>0</v>
      </c>
      <c r="U16" s="3">
        <f>'10-Year FR Revised'!I15</f>
        <v>146124.99999999997</v>
      </c>
      <c r="V16" s="5">
        <f t="shared" si="3"/>
        <v>146124.99999999997</v>
      </c>
      <c r="W16" s="3">
        <f>'10-Year FR Revised'!K15</f>
        <v>166258.99999999994</v>
      </c>
      <c r="Z16" s="5">
        <f t="shared" si="4"/>
        <v>1298700</v>
      </c>
      <c r="AA16" s="5">
        <f t="shared" si="5"/>
        <v>1298700</v>
      </c>
      <c r="AB16" s="5">
        <f t="shared" si="4"/>
        <v>285756</v>
      </c>
      <c r="AD16" s="5"/>
      <c r="AE16" s="5">
        <f t="shared" si="6"/>
        <v>215340.82362000001</v>
      </c>
      <c r="AF16" s="5">
        <f t="shared" si="7"/>
        <v>215340.82362000001</v>
      </c>
      <c r="AG16" s="5">
        <f t="shared" si="8"/>
        <v>47381.945325599998</v>
      </c>
      <c r="AJ16" s="5">
        <f t="shared" si="9"/>
        <v>1083359.1763800001</v>
      </c>
      <c r="AK16" s="5">
        <f t="shared" si="10"/>
        <v>1083359.1763800001</v>
      </c>
      <c r="AL16" s="5">
        <f t="shared" si="11"/>
        <v>238374.05467440002</v>
      </c>
      <c r="AN16" s="5">
        <f>'20-Yrs Acad Revised'!H15</f>
        <v>0</v>
      </c>
      <c r="AO16" s="5">
        <f>'20-Yrs Acad Revised'!I15</f>
        <v>187743.71324576222</v>
      </c>
      <c r="AP16" s="5">
        <f t="shared" si="12"/>
        <v>187743.71324576222</v>
      </c>
      <c r="AQ16" s="5">
        <f>'20-Yrs Acad Revised'!K15</f>
        <v>73315.613571181675</v>
      </c>
      <c r="AS16" s="3">
        <f t="shared" si="13"/>
        <v>0</v>
      </c>
      <c r="AT16" s="3">
        <f t="shared" si="14"/>
        <v>1737031.286754238</v>
      </c>
      <c r="AU16" s="5">
        <f t="shared" si="15"/>
        <v>1737031.286754238</v>
      </c>
      <c r="AV16" s="3">
        <f t="shared" si="16"/>
        <v>678326.38642881834</v>
      </c>
      <c r="AX16" s="5">
        <f t="shared" si="17"/>
        <v>0</v>
      </c>
      <c r="AY16" s="5">
        <f t="shared" si="18"/>
        <v>102352.73693997349</v>
      </c>
      <c r="AZ16" s="5">
        <f t="shared" si="19"/>
        <v>102352.73693997349</v>
      </c>
      <c r="BA16" s="5">
        <f t="shared" si="20"/>
        <v>39969.667051492019</v>
      </c>
      <c r="BC16" s="5">
        <f t="shared" si="21"/>
        <v>0</v>
      </c>
      <c r="BD16" s="5">
        <f t="shared" si="22"/>
        <v>310619.45295571856</v>
      </c>
      <c r="BE16" s="5">
        <f t="shared" si="23"/>
        <v>310619.45295571856</v>
      </c>
      <c r="BF16" s="5">
        <f t="shared" si="24"/>
        <v>121299.69833281408</v>
      </c>
      <c r="BH16" s="5">
        <f t="shared" si="25"/>
        <v>0</v>
      </c>
      <c r="BI16" s="5">
        <f t="shared" si="26"/>
        <v>39334.287384910116</v>
      </c>
      <c r="BJ16" s="5">
        <f t="shared" si="27"/>
        <v>39334.287384910116</v>
      </c>
      <c r="BK16" s="5">
        <f t="shared" si="28"/>
        <v>15360.394040118252</v>
      </c>
      <c r="BM16" s="5">
        <f t="shared" si="29"/>
        <v>0</v>
      </c>
      <c r="BN16" s="5">
        <f t="shared" si="30"/>
        <v>430.59677722575668</v>
      </c>
      <c r="BO16" s="5">
        <f t="shared" si="31"/>
        <v>430.59677722575668</v>
      </c>
      <c r="BP16" s="5">
        <f t="shared" si="32"/>
        <v>168.15192571990087</v>
      </c>
      <c r="BR16" s="5">
        <f t="shared" si="33"/>
        <v>0</v>
      </c>
      <c r="BS16" s="5">
        <f t="shared" si="34"/>
        <v>683.66616157340809</v>
      </c>
      <c r="BT16" s="5">
        <f t="shared" si="35"/>
        <v>683.66616157340809</v>
      </c>
      <c r="BU16" s="5">
        <f t="shared" si="36"/>
        <v>266.9778031288642</v>
      </c>
      <c r="BW16" s="5">
        <f t="shared" si="37"/>
        <v>0</v>
      </c>
      <c r="BX16" s="5">
        <f t="shared" si="38"/>
        <v>40559.92975428066</v>
      </c>
      <c r="BY16" s="5">
        <f t="shared" si="39"/>
        <v>40559.92975428066</v>
      </c>
      <c r="BZ16" s="5">
        <f t="shared" si="40"/>
        <v>15839.018441307178</v>
      </c>
      <c r="CB16" s="5">
        <f t="shared" si="41"/>
        <v>0</v>
      </c>
      <c r="CC16" s="5">
        <f t="shared" si="42"/>
        <v>208.17451941378496</v>
      </c>
      <c r="CD16" s="5">
        <f t="shared" si="43"/>
        <v>208.17451941378496</v>
      </c>
      <c r="CE16" s="5">
        <f t="shared" si="44"/>
        <v>81.29402767659397</v>
      </c>
      <c r="CG16" s="5">
        <f t="shared" si="45"/>
        <v>0</v>
      </c>
      <c r="CH16" s="5">
        <f t="shared" si="46"/>
        <v>8937.6504433952141</v>
      </c>
      <c r="CI16" s="5">
        <f t="shared" si="47"/>
        <v>8937.6504433952141</v>
      </c>
      <c r="CJ16" s="5">
        <f t="shared" si="48"/>
        <v>3490.2331205332912</v>
      </c>
      <c r="CL16" s="5">
        <f t="shared" si="49"/>
        <v>0</v>
      </c>
      <c r="CM16" s="5">
        <f t="shared" si="50"/>
        <v>10312.208263039851</v>
      </c>
      <c r="CN16" s="5">
        <f t="shared" si="51"/>
        <v>10312.208263039851</v>
      </c>
      <c r="CO16" s="5">
        <f t="shared" si="52"/>
        <v>4027.0103483512617</v>
      </c>
      <c r="CQ16" s="5">
        <f t="shared" si="53"/>
        <v>0</v>
      </c>
      <c r="CR16" s="5">
        <f t="shared" si="54"/>
        <v>105523.00388716155</v>
      </c>
      <c r="CS16" s="5">
        <f t="shared" si="55"/>
        <v>105523.00388716155</v>
      </c>
      <c r="CT16" s="5">
        <f t="shared" si="56"/>
        <v>41207.684891872494</v>
      </c>
      <c r="CV16" s="5">
        <f t="shared" si="57"/>
        <v>0</v>
      </c>
      <c r="CW16" s="5">
        <f t="shared" si="58"/>
        <v>95721.217907617072</v>
      </c>
      <c r="CX16" s="5">
        <f t="shared" si="59"/>
        <v>95721.217907617072</v>
      </c>
      <c r="CY16" s="5">
        <f t="shared" si="60"/>
        <v>37379.99904950818</v>
      </c>
      <c r="DA16" s="5">
        <f t="shared" si="61"/>
        <v>0</v>
      </c>
      <c r="DB16" s="5">
        <f t="shared" si="62"/>
        <v>9536.311074165691</v>
      </c>
      <c r="DC16" s="5">
        <f t="shared" si="63"/>
        <v>9536.311074165691</v>
      </c>
      <c r="DD16" s="5">
        <f t="shared" si="64"/>
        <v>3724.0154970882563</v>
      </c>
      <c r="DF16" s="5">
        <f t="shared" si="65"/>
        <v>0</v>
      </c>
      <c r="DG16" s="5">
        <f t="shared" si="66"/>
        <v>330144.62614765577</v>
      </c>
      <c r="DH16" s="5">
        <f t="shared" si="67"/>
        <v>330144.62614765577</v>
      </c>
      <c r="DI16" s="5">
        <f t="shared" si="68"/>
        <v>128924.45459177114</v>
      </c>
      <c r="DK16" s="5">
        <f t="shared" si="69"/>
        <v>0</v>
      </c>
      <c r="DL16" s="5">
        <f t="shared" si="70"/>
        <v>682533.53726585035</v>
      </c>
      <c r="DM16" s="5">
        <f t="shared" si="71"/>
        <v>682533.53726585035</v>
      </c>
      <c r="DN16" s="5">
        <f t="shared" si="72"/>
        <v>266535.50311988586</v>
      </c>
      <c r="DP16" s="5">
        <f t="shared" si="73"/>
        <v>0</v>
      </c>
      <c r="DQ16" s="5">
        <f t="shared" si="74"/>
        <v>133.88727225675143</v>
      </c>
      <c r="DR16" s="5">
        <f t="shared" si="75"/>
        <v>133.88727225675143</v>
      </c>
      <c r="DS16" s="5">
        <f t="shared" si="76"/>
        <v>52.284187551069174</v>
      </c>
      <c r="DU16" s="5">
        <f t="shared" si="77"/>
        <v>0</v>
      </c>
      <c r="DV16" s="5">
        <f t="shared" si="78"/>
        <v>0</v>
      </c>
      <c r="DW16" s="5">
        <f t="shared" si="79"/>
        <v>0</v>
      </c>
      <c r="DX16" s="5">
        <f t="shared" si="80"/>
        <v>0</v>
      </c>
      <c r="ED16" s="5"/>
      <c r="EE16" s="5"/>
      <c r="EF16" s="5"/>
      <c r="EG16" s="5"/>
      <c r="EH16" s="5"/>
      <c r="EI16" s="5"/>
    </row>
    <row r="17" spans="1:139" ht="12" customHeight="1" x14ac:dyDescent="0.2">
      <c r="A17" s="28">
        <v>46844</v>
      </c>
      <c r="C17" s="3">
        <v>0</v>
      </c>
      <c r="D17" s="3">
        <v>1298700</v>
      </c>
      <c r="E17" s="3">
        <v>285756</v>
      </c>
      <c r="F17" s="3">
        <v>4815000</v>
      </c>
      <c r="G17" s="3">
        <v>1924775</v>
      </c>
      <c r="H17" s="3">
        <v>751642</v>
      </c>
      <c r="I17" s="3">
        <v>1355000</v>
      </c>
      <c r="J17" s="3">
        <v>146125</v>
      </c>
      <c r="K17" s="3">
        <v>166259</v>
      </c>
      <c r="L17" s="3">
        <v>0</v>
      </c>
      <c r="M17" s="3">
        <v>340375</v>
      </c>
      <c r="N17" s="3">
        <v>345072</v>
      </c>
      <c r="O17" s="3">
        <f t="shared" si="81"/>
        <v>6170000</v>
      </c>
      <c r="P17" s="3">
        <f t="shared" si="0"/>
        <v>3709975</v>
      </c>
      <c r="Q17" s="3">
        <f t="shared" si="1"/>
        <v>9879975</v>
      </c>
      <c r="R17" s="3">
        <f t="shared" si="2"/>
        <v>1548729</v>
      </c>
      <c r="T17" s="3">
        <f>'10-Year FR Revised'!H16</f>
        <v>1355000</v>
      </c>
      <c r="U17" s="3">
        <f>'10-Year FR Revised'!I16</f>
        <v>146124.99999999997</v>
      </c>
      <c r="V17" s="5">
        <f t="shared" si="3"/>
        <v>1501125</v>
      </c>
      <c r="W17" s="3">
        <f>'10-Year FR Revised'!K16</f>
        <v>166258.99999999994</v>
      </c>
      <c r="Y17" s="5">
        <f>AD17+AI17</f>
        <v>0</v>
      </c>
      <c r="Z17" s="5">
        <f t="shared" si="4"/>
        <v>1298700</v>
      </c>
      <c r="AA17" s="5">
        <f t="shared" si="5"/>
        <v>1298700</v>
      </c>
      <c r="AB17" s="5">
        <f t="shared" si="4"/>
        <v>285756</v>
      </c>
      <c r="AD17" s="5">
        <f>C17*$AE$7</f>
        <v>0</v>
      </c>
      <c r="AE17" s="5">
        <f t="shared" si="6"/>
        <v>215340.82362000001</v>
      </c>
      <c r="AF17" s="5">
        <f t="shared" si="7"/>
        <v>215340.82362000001</v>
      </c>
      <c r="AG17" s="5">
        <f t="shared" si="8"/>
        <v>47381.945325599998</v>
      </c>
      <c r="AI17" s="5">
        <f>C17*$AJ$7</f>
        <v>0</v>
      </c>
      <c r="AJ17" s="5">
        <f t="shared" si="9"/>
        <v>1083359.1763800001</v>
      </c>
      <c r="AK17" s="5">
        <f t="shared" si="10"/>
        <v>1083359.1763800001</v>
      </c>
      <c r="AL17" s="5">
        <f t="shared" si="11"/>
        <v>238374.05467440002</v>
      </c>
      <c r="AN17" s="5">
        <f>'20-Yrs Acad Revised'!H16</f>
        <v>469658.0012096712</v>
      </c>
      <c r="AO17" s="5">
        <f>'20-Yrs Acad Revised'!I16</f>
        <v>187743.71324576222</v>
      </c>
      <c r="AP17" s="5">
        <f t="shared" si="12"/>
        <v>657401.71445543342</v>
      </c>
      <c r="AQ17" s="5">
        <f>'20-Yrs Acad Revised'!K16</f>
        <v>73315.613571181675</v>
      </c>
      <c r="AS17" s="3">
        <f t="shared" si="13"/>
        <v>4345341.9987903284</v>
      </c>
      <c r="AT17" s="3">
        <f t="shared" si="14"/>
        <v>1737031.286754238</v>
      </c>
      <c r="AU17" s="5">
        <f t="shared" si="15"/>
        <v>6082373.2855445668</v>
      </c>
      <c r="AV17" s="3">
        <f t="shared" si="16"/>
        <v>678326.38642881834</v>
      </c>
      <c r="AX17" s="5">
        <f t="shared" si="17"/>
        <v>256044.69528436952</v>
      </c>
      <c r="AY17" s="5">
        <f t="shared" si="18"/>
        <v>102352.73693997349</v>
      </c>
      <c r="AZ17" s="5">
        <f t="shared" si="19"/>
        <v>358397.43222434301</v>
      </c>
      <c r="BA17" s="5">
        <f t="shared" si="20"/>
        <v>39969.667051492019</v>
      </c>
      <c r="BC17" s="5">
        <f t="shared" si="21"/>
        <v>777042.85746738443</v>
      </c>
      <c r="BD17" s="5">
        <f t="shared" si="22"/>
        <v>310619.45295571856</v>
      </c>
      <c r="BE17" s="5">
        <f t="shared" si="23"/>
        <v>1087662.3104231029</v>
      </c>
      <c r="BF17" s="5">
        <f t="shared" si="24"/>
        <v>121299.69833281408</v>
      </c>
      <c r="BH17" s="5">
        <f t="shared" si="25"/>
        <v>98398.303052742369</v>
      </c>
      <c r="BI17" s="5">
        <f t="shared" si="26"/>
        <v>39334.287384910116</v>
      </c>
      <c r="BJ17" s="5">
        <f t="shared" si="27"/>
        <v>137732.59043765248</v>
      </c>
      <c r="BK17" s="5">
        <f t="shared" si="28"/>
        <v>15360.394040118252</v>
      </c>
      <c r="BM17" s="5">
        <f t="shared" si="29"/>
        <v>1077.1770634708048</v>
      </c>
      <c r="BN17" s="5">
        <f t="shared" si="30"/>
        <v>430.59677722575668</v>
      </c>
      <c r="BO17" s="5">
        <f t="shared" si="31"/>
        <v>1507.7738406965614</v>
      </c>
      <c r="BP17" s="5">
        <f t="shared" si="32"/>
        <v>168.15192571990087</v>
      </c>
      <c r="BR17" s="5">
        <f t="shared" si="33"/>
        <v>1710.2531817879803</v>
      </c>
      <c r="BS17" s="5">
        <f t="shared" si="34"/>
        <v>683.66616157340809</v>
      </c>
      <c r="BT17" s="5">
        <f t="shared" si="35"/>
        <v>2393.9193433613882</v>
      </c>
      <c r="BU17" s="5">
        <f t="shared" si="36"/>
        <v>266.9778031288642</v>
      </c>
      <c r="BW17" s="5">
        <f t="shared" si="37"/>
        <v>101464.35908969172</v>
      </c>
      <c r="BX17" s="5">
        <f t="shared" si="38"/>
        <v>40559.92975428066</v>
      </c>
      <c r="BY17" s="5">
        <f t="shared" si="39"/>
        <v>142024.28884397238</v>
      </c>
      <c r="BZ17" s="5">
        <f t="shared" si="40"/>
        <v>15839.018441307178</v>
      </c>
      <c r="CB17" s="5">
        <f t="shared" si="41"/>
        <v>520.76752398455642</v>
      </c>
      <c r="CC17" s="5">
        <f t="shared" si="42"/>
        <v>208.17451941378496</v>
      </c>
      <c r="CD17" s="5">
        <f t="shared" si="43"/>
        <v>728.94204339834141</v>
      </c>
      <c r="CE17" s="5">
        <f t="shared" si="44"/>
        <v>81.29402767659397</v>
      </c>
      <c r="CG17" s="5">
        <f t="shared" si="45"/>
        <v>22358.34675998387</v>
      </c>
      <c r="CH17" s="5">
        <f t="shared" si="46"/>
        <v>8937.6504433952141</v>
      </c>
      <c r="CI17" s="5">
        <f t="shared" si="47"/>
        <v>31295.997203379084</v>
      </c>
      <c r="CJ17" s="5">
        <f t="shared" si="48"/>
        <v>3490.2331205332912</v>
      </c>
      <c r="CL17" s="5">
        <f t="shared" si="49"/>
        <v>25796.928361256189</v>
      </c>
      <c r="CM17" s="5">
        <f t="shared" si="50"/>
        <v>10312.208263039851</v>
      </c>
      <c r="CN17" s="5">
        <f t="shared" si="51"/>
        <v>36109.136624296036</v>
      </c>
      <c r="CO17" s="5">
        <f t="shared" si="52"/>
        <v>4027.0103483512617</v>
      </c>
      <c r="CQ17" s="5">
        <f t="shared" si="53"/>
        <v>263975.40684842796</v>
      </c>
      <c r="CR17" s="5">
        <f t="shared" si="54"/>
        <v>105523.00388716155</v>
      </c>
      <c r="CS17" s="5">
        <f t="shared" si="55"/>
        <v>369498.41073558951</v>
      </c>
      <c r="CT17" s="5">
        <f t="shared" si="56"/>
        <v>41207.684891872494</v>
      </c>
      <c r="CV17" s="5">
        <f t="shared" si="57"/>
        <v>239455.34632628551</v>
      </c>
      <c r="CW17" s="5">
        <f t="shared" si="58"/>
        <v>95721.217907617072</v>
      </c>
      <c r="CX17" s="5">
        <f t="shared" si="59"/>
        <v>335176.56423390261</v>
      </c>
      <c r="CY17" s="5">
        <f t="shared" si="60"/>
        <v>37379.99904950818</v>
      </c>
      <c r="DA17" s="5">
        <f t="shared" si="61"/>
        <v>23855.950862884132</v>
      </c>
      <c r="DB17" s="5">
        <f t="shared" si="62"/>
        <v>9536.311074165691</v>
      </c>
      <c r="DC17" s="5">
        <f t="shared" si="63"/>
        <v>33392.261937049821</v>
      </c>
      <c r="DD17" s="5">
        <f t="shared" si="64"/>
        <v>3724.0154970882563</v>
      </c>
      <c r="DF17" s="5">
        <f t="shared" si="65"/>
        <v>825886.8568538985</v>
      </c>
      <c r="DG17" s="5">
        <f t="shared" si="66"/>
        <v>330144.62614765577</v>
      </c>
      <c r="DH17" s="5">
        <f t="shared" si="67"/>
        <v>1156031.4830015544</v>
      </c>
      <c r="DI17" s="5">
        <f t="shared" si="68"/>
        <v>128924.45459177114</v>
      </c>
      <c r="DK17" s="5">
        <f t="shared" si="69"/>
        <v>1707419.8189061419</v>
      </c>
      <c r="DL17" s="5">
        <f t="shared" si="70"/>
        <v>682533.53726585035</v>
      </c>
      <c r="DM17" s="5">
        <f t="shared" si="71"/>
        <v>2389953.3561719921</v>
      </c>
      <c r="DN17" s="5">
        <f t="shared" si="72"/>
        <v>266535.50311988586</v>
      </c>
      <c r="DP17" s="5">
        <f t="shared" si="73"/>
        <v>334.93120801977278</v>
      </c>
      <c r="DQ17" s="5">
        <f t="shared" si="74"/>
        <v>133.88727225675143</v>
      </c>
      <c r="DR17" s="5">
        <f t="shared" si="75"/>
        <v>468.81848027652421</v>
      </c>
      <c r="DS17" s="5">
        <f t="shared" si="76"/>
        <v>52.284187551069174</v>
      </c>
      <c r="DU17" s="5">
        <f t="shared" si="77"/>
        <v>0</v>
      </c>
      <c r="DV17" s="5">
        <f t="shared" si="78"/>
        <v>0</v>
      </c>
      <c r="DW17" s="5">
        <f t="shared" si="79"/>
        <v>0</v>
      </c>
      <c r="DX17" s="5">
        <f t="shared" si="80"/>
        <v>0</v>
      </c>
      <c r="ED17" s="5"/>
      <c r="EE17" s="5"/>
      <c r="EF17" s="5"/>
      <c r="EG17" s="5"/>
      <c r="EH17" s="5"/>
      <c r="EI17" s="5"/>
    </row>
    <row r="18" spans="1:139" ht="12" customHeight="1" x14ac:dyDescent="0.2">
      <c r="A18" s="28">
        <v>47027</v>
      </c>
      <c r="D18" s="3">
        <v>1298700</v>
      </c>
      <c r="E18" s="3">
        <v>285756</v>
      </c>
      <c r="G18" s="3">
        <v>1804400</v>
      </c>
      <c r="H18" s="3">
        <v>751642</v>
      </c>
      <c r="J18" s="3">
        <v>112250</v>
      </c>
      <c r="K18" s="3">
        <v>166259</v>
      </c>
      <c r="M18" s="3">
        <v>340375</v>
      </c>
      <c r="N18" s="3">
        <v>345072</v>
      </c>
      <c r="P18" s="3">
        <f t="shared" si="0"/>
        <v>3555725</v>
      </c>
      <c r="Q18" s="3">
        <f t="shared" si="1"/>
        <v>3555725</v>
      </c>
      <c r="R18" s="3">
        <f t="shared" si="2"/>
        <v>1548729</v>
      </c>
      <c r="T18" s="3">
        <f>'10-Year FR Revised'!H17</f>
        <v>0</v>
      </c>
      <c r="U18" s="3">
        <f>'10-Year FR Revised'!I17</f>
        <v>112249.99999999996</v>
      </c>
      <c r="V18" s="5">
        <f t="shared" si="3"/>
        <v>112249.99999999996</v>
      </c>
      <c r="W18" s="3">
        <f>'10-Year FR Revised'!K17</f>
        <v>166258.99999999994</v>
      </c>
      <c r="Z18" s="5">
        <f t="shared" si="4"/>
        <v>1298700</v>
      </c>
      <c r="AA18" s="5">
        <f t="shared" si="5"/>
        <v>1298700</v>
      </c>
      <c r="AB18" s="5">
        <f t="shared" si="4"/>
        <v>285756</v>
      </c>
      <c r="AD18" s="5"/>
      <c r="AE18" s="5">
        <f t="shared" si="6"/>
        <v>215340.82362000001</v>
      </c>
      <c r="AF18" s="5">
        <f t="shared" si="7"/>
        <v>215340.82362000001</v>
      </c>
      <c r="AG18" s="5">
        <f t="shared" si="8"/>
        <v>47381.945325599998</v>
      </c>
      <c r="AJ18" s="5">
        <f t="shared" si="9"/>
        <v>1083359.1763800001</v>
      </c>
      <c r="AK18" s="5">
        <f t="shared" si="10"/>
        <v>1083359.1763800001</v>
      </c>
      <c r="AL18" s="5">
        <f t="shared" si="11"/>
        <v>238374.05467440002</v>
      </c>
      <c r="AN18" s="5">
        <f>'20-Yrs Acad Revised'!H17</f>
        <v>0</v>
      </c>
      <c r="AO18" s="5">
        <f>'20-Yrs Acad Revised'!I17</f>
        <v>176002.26321552039</v>
      </c>
      <c r="AP18" s="5">
        <f t="shared" si="12"/>
        <v>176002.26321552039</v>
      </c>
      <c r="AQ18" s="5">
        <f>'20-Yrs Acad Revised'!K17</f>
        <v>73315.613571181675</v>
      </c>
      <c r="AS18" s="3">
        <f t="shared" si="13"/>
        <v>0</v>
      </c>
      <c r="AT18" s="3">
        <f t="shared" si="14"/>
        <v>1628397.7367844798</v>
      </c>
      <c r="AU18" s="5">
        <f t="shared" si="15"/>
        <v>1628397.7367844798</v>
      </c>
      <c r="AV18" s="3">
        <f t="shared" si="16"/>
        <v>678326.38642881834</v>
      </c>
      <c r="AX18" s="5">
        <f t="shared" si="17"/>
        <v>0</v>
      </c>
      <c r="AY18" s="5">
        <f t="shared" si="18"/>
        <v>95951.619557864251</v>
      </c>
      <c r="AZ18" s="5">
        <f t="shared" si="19"/>
        <v>95951.619557864251</v>
      </c>
      <c r="BA18" s="5">
        <f t="shared" si="20"/>
        <v>39969.667051492019</v>
      </c>
      <c r="BC18" s="5">
        <f t="shared" si="21"/>
        <v>0</v>
      </c>
      <c r="BD18" s="5">
        <f t="shared" si="22"/>
        <v>291193.38151903398</v>
      </c>
      <c r="BE18" s="5">
        <f t="shared" si="23"/>
        <v>291193.38151903398</v>
      </c>
      <c r="BF18" s="5">
        <f t="shared" si="24"/>
        <v>121299.69833281408</v>
      </c>
      <c r="BH18" s="5">
        <f t="shared" si="25"/>
        <v>0</v>
      </c>
      <c r="BI18" s="5">
        <f t="shared" si="26"/>
        <v>36874.329808591552</v>
      </c>
      <c r="BJ18" s="5">
        <f t="shared" si="27"/>
        <v>36874.329808591552</v>
      </c>
      <c r="BK18" s="5">
        <f t="shared" si="28"/>
        <v>15360.394040118252</v>
      </c>
      <c r="BM18" s="5">
        <f t="shared" si="29"/>
        <v>0</v>
      </c>
      <c r="BN18" s="5">
        <f t="shared" si="30"/>
        <v>403.66735063898653</v>
      </c>
      <c r="BO18" s="5">
        <f t="shared" si="31"/>
        <v>403.66735063898653</v>
      </c>
      <c r="BP18" s="5">
        <f t="shared" si="32"/>
        <v>168.15192571990087</v>
      </c>
      <c r="BR18" s="5">
        <f t="shared" si="33"/>
        <v>0</v>
      </c>
      <c r="BS18" s="5">
        <f t="shared" si="34"/>
        <v>640.90983202870859</v>
      </c>
      <c r="BT18" s="5">
        <f t="shared" si="35"/>
        <v>640.90983202870859</v>
      </c>
      <c r="BU18" s="5">
        <f t="shared" si="36"/>
        <v>266.9778031288642</v>
      </c>
      <c r="BW18" s="5">
        <f t="shared" si="37"/>
        <v>0</v>
      </c>
      <c r="BX18" s="5">
        <f t="shared" si="38"/>
        <v>38023.320777038367</v>
      </c>
      <c r="BY18" s="5">
        <f t="shared" si="39"/>
        <v>38023.320777038367</v>
      </c>
      <c r="BZ18" s="5">
        <f t="shared" si="40"/>
        <v>15839.018441307178</v>
      </c>
      <c r="CB18" s="5">
        <f t="shared" si="41"/>
        <v>0</v>
      </c>
      <c r="CC18" s="5">
        <f t="shared" si="42"/>
        <v>195.15533131417106</v>
      </c>
      <c r="CD18" s="5">
        <f t="shared" si="43"/>
        <v>195.15533131417106</v>
      </c>
      <c r="CE18" s="5">
        <f t="shared" si="44"/>
        <v>81.29402767659397</v>
      </c>
      <c r="CG18" s="5">
        <f t="shared" si="45"/>
        <v>0</v>
      </c>
      <c r="CH18" s="5">
        <f t="shared" si="46"/>
        <v>8378.6917743956164</v>
      </c>
      <c r="CI18" s="5">
        <f t="shared" si="47"/>
        <v>8378.6917743956164</v>
      </c>
      <c r="CJ18" s="5">
        <f t="shared" si="48"/>
        <v>3490.2331205332912</v>
      </c>
      <c r="CL18" s="5">
        <f t="shared" si="49"/>
        <v>0</v>
      </c>
      <c r="CM18" s="5">
        <f t="shared" si="50"/>
        <v>9667.2850540084455</v>
      </c>
      <c r="CN18" s="5">
        <f t="shared" si="51"/>
        <v>9667.2850540084455</v>
      </c>
      <c r="CO18" s="5">
        <f t="shared" si="52"/>
        <v>4027.0103483512617</v>
      </c>
      <c r="CQ18" s="5">
        <f t="shared" si="53"/>
        <v>0</v>
      </c>
      <c r="CR18" s="5">
        <f t="shared" si="54"/>
        <v>98923.618715950855</v>
      </c>
      <c r="CS18" s="5">
        <f t="shared" si="55"/>
        <v>98923.618715950855</v>
      </c>
      <c r="CT18" s="5">
        <f t="shared" si="56"/>
        <v>41207.684891872494</v>
      </c>
      <c r="CV18" s="5">
        <f t="shared" si="57"/>
        <v>0</v>
      </c>
      <c r="CW18" s="5">
        <f t="shared" si="58"/>
        <v>89734.834249459935</v>
      </c>
      <c r="CX18" s="5">
        <f t="shared" si="59"/>
        <v>89734.834249459935</v>
      </c>
      <c r="CY18" s="5">
        <f t="shared" si="60"/>
        <v>37379.99904950818</v>
      </c>
      <c r="DA18" s="5">
        <f t="shared" si="61"/>
        <v>0</v>
      </c>
      <c r="DB18" s="5">
        <f t="shared" si="62"/>
        <v>8939.9123025935878</v>
      </c>
      <c r="DC18" s="5">
        <f t="shared" si="63"/>
        <v>8939.9123025935878</v>
      </c>
      <c r="DD18" s="5">
        <f t="shared" si="64"/>
        <v>3724.0154970882563</v>
      </c>
      <c r="DF18" s="5">
        <f t="shared" si="65"/>
        <v>0</v>
      </c>
      <c r="DG18" s="5">
        <f t="shared" si="66"/>
        <v>309497.45472630829</v>
      </c>
      <c r="DH18" s="5">
        <f t="shared" si="67"/>
        <v>309497.45472630829</v>
      </c>
      <c r="DI18" s="5">
        <f t="shared" si="68"/>
        <v>128924.45459177114</v>
      </c>
      <c r="DK18" s="5">
        <f t="shared" si="69"/>
        <v>0</v>
      </c>
      <c r="DL18" s="5">
        <f t="shared" si="70"/>
        <v>639848.04179319681</v>
      </c>
      <c r="DM18" s="5">
        <f t="shared" si="71"/>
        <v>639848.04179319681</v>
      </c>
      <c r="DN18" s="5">
        <f t="shared" si="72"/>
        <v>266535.50311988586</v>
      </c>
      <c r="DP18" s="5">
        <f t="shared" si="73"/>
        <v>0</v>
      </c>
      <c r="DQ18" s="5">
        <f t="shared" si="74"/>
        <v>125.51399205625712</v>
      </c>
      <c r="DR18" s="5">
        <f t="shared" si="75"/>
        <v>125.51399205625712</v>
      </c>
      <c r="DS18" s="5">
        <f t="shared" si="76"/>
        <v>52.284187551069174</v>
      </c>
      <c r="DU18" s="5">
        <f t="shared" si="77"/>
        <v>0</v>
      </c>
      <c r="DV18" s="5">
        <f t="shared" si="78"/>
        <v>0</v>
      </c>
      <c r="DW18" s="5">
        <f t="shared" si="79"/>
        <v>0</v>
      </c>
      <c r="DX18" s="5">
        <f t="shared" si="80"/>
        <v>0</v>
      </c>
      <c r="ED18" s="5"/>
      <c r="EE18" s="5"/>
      <c r="EF18" s="5"/>
      <c r="EG18" s="5"/>
      <c r="EH18" s="5"/>
      <c r="EI18" s="5"/>
    </row>
    <row r="19" spans="1:139" ht="12" customHeight="1" x14ac:dyDescent="0.2">
      <c r="A19" s="28">
        <v>47209</v>
      </c>
      <c r="C19" s="3">
        <v>0</v>
      </c>
      <c r="D19" s="3">
        <v>1298700</v>
      </c>
      <c r="E19" s="3">
        <v>285756</v>
      </c>
      <c r="F19" s="3">
        <v>5055000</v>
      </c>
      <c r="G19" s="3">
        <v>1804400</v>
      </c>
      <c r="H19" s="3">
        <v>751642</v>
      </c>
      <c r="I19" s="3">
        <v>1425000</v>
      </c>
      <c r="J19" s="3">
        <v>112250</v>
      </c>
      <c r="K19" s="3">
        <v>166259</v>
      </c>
      <c r="L19" s="3">
        <v>6440000</v>
      </c>
      <c r="M19" s="3">
        <v>340375</v>
      </c>
      <c r="N19" s="3">
        <v>345072</v>
      </c>
      <c r="O19" s="3">
        <f t="shared" si="81"/>
        <v>12920000</v>
      </c>
      <c r="P19" s="3">
        <f t="shared" si="0"/>
        <v>3555725</v>
      </c>
      <c r="Q19" s="3">
        <f t="shared" si="1"/>
        <v>16475725</v>
      </c>
      <c r="R19" s="3">
        <f t="shared" si="2"/>
        <v>1548729</v>
      </c>
      <c r="T19" s="3">
        <f>'10-Year FR Revised'!H18</f>
        <v>1424999.9999999998</v>
      </c>
      <c r="U19" s="3">
        <f>'10-Year FR Revised'!I18</f>
        <v>112249.99999999996</v>
      </c>
      <c r="V19" s="5">
        <f t="shared" si="3"/>
        <v>1537249.9999999998</v>
      </c>
      <c r="W19" s="3">
        <f>'10-Year FR Revised'!K18</f>
        <v>166258.99999999994</v>
      </c>
      <c r="Y19" s="5">
        <f>AD19+AI19</f>
        <v>0</v>
      </c>
      <c r="Z19" s="5">
        <f t="shared" si="4"/>
        <v>1298700</v>
      </c>
      <c r="AA19" s="5">
        <f t="shared" si="5"/>
        <v>1298700</v>
      </c>
      <c r="AB19" s="5">
        <f t="shared" si="4"/>
        <v>285756</v>
      </c>
      <c r="AD19" s="5">
        <f>C19*$AE$7</f>
        <v>0</v>
      </c>
      <c r="AE19" s="5">
        <f t="shared" si="6"/>
        <v>215340.82362000001</v>
      </c>
      <c r="AF19" s="5">
        <f t="shared" si="7"/>
        <v>215340.82362000001</v>
      </c>
      <c r="AG19" s="5">
        <f t="shared" si="8"/>
        <v>47381.945325599998</v>
      </c>
      <c r="AI19" s="5">
        <f>C19*$AJ$7</f>
        <v>0</v>
      </c>
      <c r="AJ19" s="5">
        <f t="shared" si="9"/>
        <v>1083359.1763800001</v>
      </c>
      <c r="AK19" s="5">
        <f t="shared" si="10"/>
        <v>1083359.1763800001</v>
      </c>
      <c r="AL19" s="5">
        <f t="shared" si="11"/>
        <v>238374.05467440002</v>
      </c>
      <c r="AN19" s="5">
        <f>'20-Yrs Acad Revised'!H18</f>
        <v>493067.74581825308</v>
      </c>
      <c r="AO19" s="5">
        <f>'20-Yrs Acad Revised'!I18</f>
        <v>176002.26321552039</v>
      </c>
      <c r="AP19" s="5">
        <f t="shared" si="12"/>
        <v>669070.00903377344</v>
      </c>
      <c r="AQ19" s="5">
        <f>'20-Yrs Acad Revised'!K18</f>
        <v>73315.613571181675</v>
      </c>
      <c r="AS19" s="3">
        <f t="shared" si="13"/>
        <v>4561932.2541817483</v>
      </c>
      <c r="AT19" s="3">
        <f t="shared" si="14"/>
        <v>1628397.7367844798</v>
      </c>
      <c r="AU19" s="5">
        <f t="shared" si="15"/>
        <v>6190329.9909662278</v>
      </c>
      <c r="AV19" s="3">
        <f t="shared" si="16"/>
        <v>678326.38642881834</v>
      </c>
      <c r="AX19" s="5">
        <f t="shared" si="17"/>
        <v>268807.04769729759</v>
      </c>
      <c r="AY19" s="5">
        <f t="shared" si="18"/>
        <v>95951.619557864251</v>
      </c>
      <c r="AZ19" s="5">
        <f t="shared" si="19"/>
        <v>364758.66725516185</v>
      </c>
      <c r="BA19" s="5">
        <f t="shared" si="20"/>
        <v>39969.667051492019</v>
      </c>
      <c r="BC19" s="5">
        <f t="shared" si="21"/>
        <v>815773.96562775259</v>
      </c>
      <c r="BD19" s="5">
        <f t="shared" si="22"/>
        <v>291193.38151903398</v>
      </c>
      <c r="BE19" s="5">
        <f t="shared" si="23"/>
        <v>1106967.3471467865</v>
      </c>
      <c r="BF19" s="5">
        <f t="shared" si="24"/>
        <v>121299.69833281408</v>
      </c>
      <c r="BH19" s="5">
        <f t="shared" si="25"/>
        <v>103302.89136689776</v>
      </c>
      <c r="BI19" s="5">
        <f t="shared" si="26"/>
        <v>36874.329808591552</v>
      </c>
      <c r="BJ19" s="5">
        <f t="shared" si="27"/>
        <v>140177.22117548931</v>
      </c>
      <c r="BK19" s="5">
        <f t="shared" si="28"/>
        <v>15360.394040118252</v>
      </c>
      <c r="BM19" s="5">
        <f t="shared" si="29"/>
        <v>1130.8681320550195</v>
      </c>
      <c r="BN19" s="5">
        <f t="shared" si="30"/>
        <v>403.66735063898653</v>
      </c>
      <c r="BO19" s="5">
        <f t="shared" si="31"/>
        <v>1534.5354826940061</v>
      </c>
      <c r="BP19" s="5">
        <f t="shared" si="32"/>
        <v>168.15192571990087</v>
      </c>
      <c r="BR19" s="5">
        <f t="shared" si="33"/>
        <v>1795.4994463007768</v>
      </c>
      <c r="BS19" s="5">
        <f t="shared" si="34"/>
        <v>640.90983202870859</v>
      </c>
      <c r="BT19" s="5">
        <f t="shared" si="35"/>
        <v>2436.4092783294855</v>
      </c>
      <c r="BU19" s="5">
        <f t="shared" si="36"/>
        <v>266.9778031288642</v>
      </c>
      <c r="BW19" s="5">
        <f t="shared" si="37"/>
        <v>106521.77262687261</v>
      </c>
      <c r="BX19" s="5">
        <f t="shared" si="38"/>
        <v>38023.320777038367</v>
      </c>
      <c r="BY19" s="5">
        <f t="shared" si="39"/>
        <v>144545.09340391099</v>
      </c>
      <c r="BZ19" s="5">
        <f t="shared" si="40"/>
        <v>15839.018441307178</v>
      </c>
      <c r="CB19" s="5">
        <f t="shared" si="41"/>
        <v>546.72478374702655</v>
      </c>
      <c r="CC19" s="5">
        <f t="shared" si="42"/>
        <v>195.15533131417106</v>
      </c>
      <c r="CD19" s="5">
        <f t="shared" si="43"/>
        <v>741.88011506119756</v>
      </c>
      <c r="CE19" s="5">
        <f t="shared" si="44"/>
        <v>81.29402767659397</v>
      </c>
      <c r="CG19" s="5">
        <f t="shared" si="45"/>
        <v>23472.781489453471</v>
      </c>
      <c r="CH19" s="5">
        <f t="shared" si="46"/>
        <v>8378.6917743956164</v>
      </c>
      <c r="CI19" s="5">
        <f t="shared" si="47"/>
        <v>31851.47326384909</v>
      </c>
      <c r="CJ19" s="5">
        <f t="shared" si="48"/>
        <v>3490.2331205332912</v>
      </c>
      <c r="CL19" s="5">
        <f t="shared" si="49"/>
        <v>27082.756566178614</v>
      </c>
      <c r="CM19" s="5">
        <f t="shared" si="50"/>
        <v>9667.2850540084455</v>
      </c>
      <c r="CN19" s="5">
        <f t="shared" si="51"/>
        <v>36750.041620187061</v>
      </c>
      <c r="CO19" s="5">
        <f t="shared" si="52"/>
        <v>4027.0103483512617</v>
      </c>
      <c r="CQ19" s="5">
        <f t="shared" si="53"/>
        <v>277133.0595262312</v>
      </c>
      <c r="CR19" s="5">
        <f t="shared" si="54"/>
        <v>98923.618715950855</v>
      </c>
      <c r="CS19" s="5">
        <f t="shared" si="55"/>
        <v>376056.67824218207</v>
      </c>
      <c r="CT19" s="5">
        <f t="shared" si="56"/>
        <v>41207.684891872494</v>
      </c>
      <c r="CV19" s="5">
        <f t="shared" si="57"/>
        <v>251390.81530205053</v>
      </c>
      <c r="CW19" s="5">
        <f t="shared" si="58"/>
        <v>89734.834249459935</v>
      </c>
      <c r="CX19" s="5">
        <f t="shared" si="59"/>
        <v>341125.64955151046</v>
      </c>
      <c r="CY19" s="5">
        <f t="shared" si="60"/>
        <v>37379.99904950818</v>
      </c>
      <c r="DA19" s="5">
        <f t="shared" si="61"/>
        <v>25045.032525831626</v>
      </c>
      <c r="DB19" s="5">
        <f t="shared" si="62"/>
        <v>8939.9123025935878</v>
      </c>
      <c r="DC19" s="5">
        <f t="shared" si="63"/>
        <v>33984.944828425214</v>
      </c>
      <c r="DD19" s="5">
        <f t="shared" si="64"/>
        <v>3724.0154970882563</v>
      </c>
      <c r="DF19" s="5">
        <f t="shared" si="65"/>
        <v>867052.55688399938</v>
      </c>
      <c r="DG19" s="5">
        <f t="shared" si="66"/>
        <v>309497.45472630829</v>
      </c>
      <c r="DH19" s="5">
        <f t="shared" si="67"/>
        <v>1176550.0116103077</v>
      </c>
      <c r="DI19" s="5">
        <f t="shared" si="68"/>
        <v>128924.45459177114</v>
      </c>
      <c r="DK19" s="5">
        <f t="shared" si="69"/>
        <v>1792524.8566086288</v>
      </c>
      <c r="DL19" s="5">
        <f t="shared" si="70"/>
        <v>639848.04179319681</v>
      </c>
      <c r="DM19" s="5">
        <f t="shared" si="71"/>
        <v>2432372.8984018257</v>
      </c>
      <c r="DN19" s="5">
        <f t="shared" si="72"/>
        <v>266535.50311988586</v>
      </c>
      <c r="DP19" s="5">
        <f t="shared" si="73"/>
        <v>351.62559845066488</v>
      </c>
      <c r="DQ19" s="5">
        <f t="shared" si="74"/>
        <v>125.51399205625712</v>
      </c>
      <c r="DR19" s="5">
        <f t="shared" si="75"/>
        <v>477.13959050692199</v>
      </c>
      <c r="DS19" s="5">
        <f t="shared" si="76"/>
        <v>52.284187551069174</v>
      </c>
      <c r="DU19" s="5">
        <f t="shared" si="77"/>
        <v>0</v>
      </c>
      <c r="DV19" s="5">
        <f t="shared" si="78"/>
        <v>0</v>
      </c>
      <c r="DW19" s="5">
        <f t="shared" si="79"/>
        <v>0</v>
      </c>
      <c r="DX19" s="5">
        <f t="shared" si="80"/>
        <v>0</v>
      </c>
      <c r="ED19" s="5"/>
      <c r="EE19" s="5"/>
      <c r="EF19" s="5"/>
      <c r="EG19" s="5"/>
      <c r="EH19" s="5"/>
      <c r="EI19" s="5"/>
    </row>
    <row r="20" spans="1:139" ht="12" customHeight="1" x14ac:dyDescent="0.2">
      <c r="A20" s="28">
        <v>47392</v>
      </c>
      <c r="D20" s="3">
        <v>1298700</v>
      </c>
      <c r="E20" s="3">
        <v>285756</v>
      </c>
      <c r="G20" s="3">
        <v>1678025</v>
      </c>
      <c r="H20" s="3">
        <v>751642</v>
      </c>
      <c r="J20" s="3">
        <v>76625</v>
      </c>
      <c r="K20" s="3">
        <v>166259</v>
      </c>
      <c r="M20" s="3">
        <v>179375</v>
      </c>
      <c r="N20" s="3">
        <v>345072</v>
      </c>
      <c r="P20" s="3">
        <f t="shared" si="0"/>
        <v>3232725</v>
      </c>
      <c r="Q20" s="3">
        <f t="shared" si="1"/>
        <v>3232725</v>
      </c>
      <c r="R20" s="3">
        <f t="shared" si="2"/>
        <v>1548729</v>
      </c>
      <c r="T20" s="3">
        <f>'10-Year FR Revised'!H19</f>
        <v>0</v>
      </c>
      <c r="U20" s="3">
        <f>'10-Year FR Revised'!I19</f>
        <v>76624.999999999985</v>
      </c>
      <c r="V20" s="5">
        <f t="shared" si="3"/>
        <v>76624.999999999985</v>
      </c>
      <c r="W20" s="3">
        <f>'10-Year FR Revised'!K19</f>
        <v>166258.99999999994</v>
      </c>
      <c r="Z20" s="5">
        <f t="shared" si="4"/>
        <v>1298700</v>
      </c>
      <c r="AA20" s="5">
        <f t="shared" si="5"/>
        <v>1298700</v>
      </c>
      <c r="AB20" s="5">
        <f t="shared" si="4"/>
        <v>285756</v>
      </c>
      <c r="AD20" s="5"/>
      <c r="AE20" s="5">
        <f t="shared" si="6"/>
        <v>215340.82362000001</v>
      </c>
      <c r="AF20" s="5">
        <f t="shared" si="7"/>
        <v>215340.82362000001</v>
      </c>
      <c r="AG20" s="5">
        <f t="shared" si="8"/>
        <v>47381.945325599998</v>
      </c>
      <c r="AJ20" s="5">
        <f t="shared" si="9"/>
        <v>1083359.1763800001</v>
      </c>
      <c r="AK20" s="5">
        <f t="shared" si="10"/>
        <v>1083359.1763800001</v>
      </c>
      <c r="AL20" s="5">
        <f t="shared" si="11"/>
        <v>238374.05467440002</v>
      </c>
      <c r="AN20" s="5">
        <f>'20-Yrs Acad Revised'!H19</f>
        <v>0</v>
      </c>
      <c r="AO20" s="5">
        <f>'20-Yrs Acad Revised'!I19</f>
        <v>163675.56957006408</v>
      </c>
      <c r="AP20" s="5">
        <f t="shared" si="12"/>
        <v>163675.56957006408</v>
      </c>
      <c r="AQ20" s="5">
        <f>'20-Yrs Acad Revised'!K19</f>
        <v>73315.613571181675</v>
      </c>
      <c r="AS20" s="3">
        <f t="shared" si="13"/>
        <v>0</v>
      </c>
      <c r="AT20" s="3">
        <f t="shared" si="14"/>
        <v>1514349.4304299362</v>
      </c>
      <c r="AU20" s="5">
        <f t="shared" si="15"/>
        <v>1514349.4304299362</v>
      </c>
      <c r="AV20" s="3">
        <f t="shared" si="16"/>
        <v>678326.38642881834</v>
      </c>
      <c r="AX20" s="5">
        <f t="shared" si="17"/>
        <v>0</v>
      </c>
      <c r="AY20" s="5">
        <f t="shared" si="18"/>
        <v>89231.443365431813</v>
      </c>
      <c r="AZ20" s="5">
        <f t="shared" si="19"/>
        <v>89231.443365431813</v>
      </c>
      <c r="BA20" s="5">
        <f t="shared" si="20"/>
        <v>39969.667051492019</v>
      </c>
      <c r="BC20" s="5">
        <f t="shared" si="21"/>
        <v>0</v>
      </c>
      <c r="BD20" s="5">
        <f t="shared" si="22"/>
        <v>270799.03237834014</v>
      </c>
      <c r="BE20" s="5">
        <f t="shared" si="23"/>
        <v>270799.03237834014</v>
      </c>
      <c r="BF20" s="5">
        <f t="shared" si="24"/>
        <v>121299.69833281408</v>
      </c>
      <c r="BH20" s="5">
        <f t="shared" si="25"/>
        <v>0</v>
      </c>
      <c r="BI20" s="5">
        <f t="shared" si="26"/>
        <v>34291.75752441911</v>
      </c>
      <c r="BJ20" s="5">
        <f t="shared" si="27"/>
        <v>34291.75752441911</v>
      </c>
      <c r="BK20" s="5">
        <f t="shared" si="28"/>
        <v>15360.394040118252</v>
      </c>
      <c r="BM20" s="5">
        <f t="shared" si="29"/>
        <v>0</v>
      </c>
      <c r="BN20" s="5">
        <f t="shared" si="30"/>
        <v>375.39564733761108</v>
      </c>
      <c r="BO20" s="5">
        <f t="shared" si="31"/>
        <v>375.39564733761108</v>
      </c>
      <c r="BP20" s="5">
        <f t="shared" si="32"/>
        <v>168.15192571990087</v>
      </c>
      <c r="BR20" s="5">
        <f t="shared" si="33"/>
        <v>0</v>
      </c>
      <c r="BS20" s="5">
        <f t="shared" si="34"/>
        <v>596.02234587118915</v>
      </c>
      <c r="BT20" s="5">
        <f t="shared" si="35"/>
        <v>596.02234587118915</v>
      </c>
      <c r="BU20" s="5">
        <f t="shared" si="36"/>
        <v>266.9778031288642</v>
      </c>
      <c r="BW20" s="5">
        <f t="shared" si="37"/>
        <v>0</v>
      </c>
      <c r="BX20" s="5">
        <f t="shared" si="38"/>
        <v>35360.276461366549</v>
      </c>
      <c r="BY20" s="5">
        <f t="shared" si="39"/>
        <v>35360.276461366549</v>
      </c>
      <c r="BZ20" s="5">
        <f t="shared" si="40"/>
        <v>15839.018441307178</v>
      </c>
      <c r="CB20" s="5">
        <f t="shared" si="41"/>
        <v>0</v>
      </c>
      <c r="CC20" s="5">
        <f t="shared" si="42"/>
        <v>181.4872117204954</v>
      </c>
      <c r="CD20" s="5">
        <f t="shared" si="43"/>
        <v>181.4872117204954</v>
      </c>
      <c r="CE20" s="5">
        <f t="shared" si="44"/>
        <v>81.29402767659397</v>
      </c>
      <c r="CG20" s="5">
        <f t="shared" si="45"/>
        <v>0</v>
      </c>
      <c r="CH20" s="5">
        <f t="shared" si="46"/>
        <v>7791.8722371592803</v>
      </c>
      <c r="CI20" s="5">
        <f t="shared" si="47"/>
        <v>7791.8722371592803</v>
      </c>
      <c r="CJ20" s="5">
        <f t="shared" si="48"/>
        <v>3490.2331205332912</v>
      </c>
      <c r="CL20" s="5">
        <f t="shared" si="49"/>
        <v>0</v>
      </c>
      <c r="CM20" s="5">
        <f t="shared" si="50"/>
        <v>8990.2161398539811</v>
      </c>
      <c r="CN20" s="5">
        <f t="shared" si="51"/>
        <v>8990.2161398539811</v>
      </c>
      <c r="CO20" s="5">
        <f t="shared" si="52"/>
        <v>4027.0103483512617</v>
      </c>
      <c r="CQ20" s="5">
        <f t="shared" si="53"/>
        <v>0</v>
      </c>
      <c r="CR20" s="5">
        <f t="shared" si="54"/>
        <v>91995.292227795071</v>
      </c>
      <c r="CS20" s="5">
        <f t="shared" si="55"/>
        <v>91995.292227795071</v>
      </c>
      <c r="CT20" s="5">
        <f t="shared" si="56"/>
        <v>41207.684891872494</v>
      </c>
      <c r="CV20" s="5">
        <f t="shared" si="57"/>
        <v>0</v>
      </c>
      <c r="CW20" s="5">
        <f t="shared" si="58"/>
        <v>83450.063866908677</v>
      </c>
      <c r="CX20" s="5">
        <f t="shared" si="59"/>
        <v>83450.063866908677</v>
      </c>
      <c r="CY20" s="5">
        <f t="shared" si="60"/>
        <v>37379.99904950818</v>
      </c>
      <c r="DA20" s="5">
        <f t="shared" si="61"/>
        <v>0</v>
      </c>
      <c r="DB20" s="5">
        <f t="shared" si="62"/>
        <v>8313.7864894477971</v>
      </c>
      <c r="DC20" s="5">
        <f t="shared" si="63"/>
        <v>8313.7864894477971</v>
      </c>
      <c r="DD20" s="5">
        <f t="shared" si="64"/>
        <v>3724.0154970882563</v>
      </c>
      <c r="DF20" s="5">
        <f t="shared" si="65"/>
        <v>0</v>
      </c>
      <c r="DG20" s="5">
        <f t="shared" si="66"/>
        <v>287821.14080420835</v>
      </c>
      <c r="DH20" s="5">
        <f t="shared" si="67"/>
        <v>287821.14080420835</v>
      </c>
      <c r="DI20" s="5">
        <f t="shared" si="68"/>
        <v>128924.45459177114</v>
      </c>
      <c r="DK20" s="5">
        <f t="shared" si="69"/>
        <v>0</v>
      </c>
      <c r="DL20" s="5">
        <f t="shared" si="70"/>
        <v>595034.92037798103</v>
      </c>
      <c r="DM20" s="5">
        <f t="shared" si="71"/>
        <v>595034.92037798103</v>
      </c>
      <c r="DN20" s="5">
        <f t="shared" si="72"/>
        <v>266535.50311988586</v>
      </c>
      <c r="DP20" s="5">
        <f t="shared" si="73"/>
        <v>0</v>
      </c>
      <c r="DQ20" s="5">
        <f t="shared" si="74"/>
        <v>116.7233520949905</v>
      </c>
      <c r="DR20" s="5">
        <f t="shared" si="75"/>
        <v>116.7233520949905</v>
      </c>
      <c r="DS20" s="5">
        <f t="shared" si="76"/>
        <v>52.284187551069174</v>
      </c>
      <c r="DU20" s="5">
        <f t="shared" si="77"/>
        <v>0</v>
      </c>
      <c r="DV20" s="5">
        <f t="shared" si="78"/>
        <v>0</v>
      </c>
      <c r="DW20" s="5">
        <f t="shared" si="79"/>
        <v>0</v>
      </c>
      <c r="DX20" s="5">
        <f t="shared" si="80"/>
        <v>0</v>
      </c>
      <c r="ED20" s="5"/>
      <c r="EE20" s="5"/>
      <c r="EF20" s="5"/>
      <c r="EG20" s="5"/>
      <c r="EH20" s="5"/>
      <c r="EI20" s="5"/>
    </row>
    <row r="21" spans="1:139" ht="12" customHeight="1" x14ac:dyDescent="0.2">
      <c r="A21" s="28">
        <v>11049</v>
      </c>
      <c r="C21" s="3">
        <v>0</v>
      </c>
      <c r="D21" s="3">
        <v>1298700</v>
      </c>
      <c r="E21" s="3">
        <v>285756</v>
      </c>
      <c r="F21" s="3">
        <v>5310000</v>
      </c>
      <c r="G21" s="3">
        <v>1678025</v>
      </c>
      <c r="H21" s="3">
        <v>751642</v>
      </c>
      <c r="I21" s="3">
        <v>1495000</v>
      </c>
      <c r="J21" s="3">
        <v>76625</v>
      </c>
      <c r="K21" s="3">
        <v>166259</v>
      </c>
      <c r="L21" s="3">
        <v>0</v>
      </c>
      <c r="M21" s="3">
        <v>179375</v>
      </c>
      <c r="N21" s="3">
        <v>345072</v>
      </c>
      <c r="O21" s="3">
        <f t="shared" si="81"/>
        <v>6805000</v>
      </c>
      <c r="P21" s="3">
        <f t="shared" si="0"/>
        <v>3232725</v>
      </c>
      <c r="Q21" s="3">
        <f t="shared" si="1"/>
        <v>10037725</v>
      </c>
      <c r="R21" s="3">
        <f t="shared" si="2"/>
        <v>1548729</v>
      </c>
      <c r="T21" s="3">
        <f>'10-Year FR Revised'!H20</f>
        <v>1494999.9999999998</v>
      </c>
      <c r="U21" s="3">
        <f>'10-Year FR Revised'!I20</f>
        <v>76624.999999999985</v>
      </c>
      <c r="V21" s="5">
        <f t="shared" si="3"/>
        <v>1571624.9999999998</v>
      </c>
      <c r="W21" s="3">
        <f>'10-Year FR Revised'!K20</f>
        <v>166258.99999999994</v>
      </c>
      <c r="Y21" s="5">
        <f>AD21+AI21</f>
        <v>0</v>
      </c>
      <c r="Z21" s="5">
        <f t="shared" si="4"/>
        <v>1298700</v>
      </c>
      <c r="AA21" s="5">
        <f t="shared" si="5"/>
        <v>1298700</v>
      </c>
      <c r="AB21" s="5">
        <f t="shared" si="4"/>
        <v>285756</v>
      </c>
      <c r="AD21" s="5">
        <f>C21*$AE$7</f>
        <v>0</v>
      </c>
      <c r="AE21" s="5">
        <f t="shared" si="6"/>
        <v>215340.82362000001</v>
      </c>
      <c r="AF21" s="5">
        <f t="shared" si="7"/>
        <v>215340.82362000001</v>
      </c>
      <c r="AG21" s="5">
        <f t="shared" si="8"/>
        <v>47381.945325599998</v>
      </c>
      <c r="AI21" s="5">
        <f>C21*$AJ$7</f>
        <v>0</v>
      </c>
      <c r="AJ21" s="5">
        <f t="shared" si="9"/>
        <v>1083359.1763800001</v>
      </c>
      <c r="AK21" s="5">
        <f t="shared" si="10"/>
        <v>1083359.1763800001</v>
      </c>
      <c r="AL21" s="5">
        <f t="shared" si="11"/>
        <v>238374.05467440002</v>
      </c>
      <c r="AN21" s="5">
        <f>'20-Yrs Acad Revised'!H20</f>
        <v>517940.59946487111</v>
      </c>
      <c r="AO21" s="5">
        <f>'20-Yrs Acad Revised'!I20</f>
        <v>163675.56957006408</v>
      </c>
      <c r="AP21" s="5">
        <f t="shared" si="12"/>
        <v>681616.16903493518</v>
      </c>
      <c r="AQ21" s="5">
        <f>'20-Yrs Acad Revised'!K20</f>
        <v>73315.613571181675</v>
      </c>
      <c r="AS21" s="3">
        <f t="shared" si="13"/>
        <v>4792059.4005351299</v>
      </c>
      <c r="AT21" s="3">
        <f t="shared" si="14"/>
        <v>1514349.4304299362</v>
      </c>
      <c r="AU21" s="5">
        <f t="shared" si="15"/>
        <v>6306408.8309650663</v>
      </c>
      <c r="AV21" s="3">
        <f t="shared" si="16"/>
        <v>678326.38642881834</v>
      </c>
      <c r="AX21" s="5">
        <f t="shared" si="17"/>
        <v>282367.04713603371</v>
      </c>
      <c r="AY21" s="5">
        <f t="shared" si="18"/>
        <v>89231.443365431813</v>
      </c>
      <c r="AZ21" s="5">
        <f t="shared" si="19"/>
        <v>371598.49050146551</v>
      </c>
      <c r="BA21" s="5">
        <f t="shared" si="20"/>
        <v>39969.667051492019</v>
      </c>
      <c r="BC21" s="5">
        <f t="shared" si="21"/>
        <v>856925.7680481436</v>
      </c>
      <c r="BD21" s="5">
        <f t="shared" si="22"/>
        <v>270799.03237834014</v>
      </c>
      <c r="BE21" s="5">
        <f t="shared" si="23"/>
        <v>1127724.8004264836</v>
      </c>
      <c r="BF21" s="5">
        <f t="shared" si="24"/>
        <v>121299.69833281408</v>
      </c>
      <c r="BH21" s="5">
        <f t="shared" si="25"/>
        <v>108514.01645068785</v>
      </c>
      <c r="BI21" s="5">
        <f t="shared" si="26"/>
        <v>34291.75752441911</v>
      </c>
      <c r="BJ21" s="5">
        <f t="shared" si="27"/>
        <v>142805.77397510695</v>
      </c>
      <c r="BK21" s="5">
        <f t="shared" si="28"/>
        <v>15360.394040118252</v>
      </c>
      <c r="BM21" s="5">
        <f t="shared" si="29"/>
        <v>1187.9148924257474</v>
      </c>
      <c r="BN21" s="5">
        <f t="shared" si="30"/>
        <v>375.39564733761108</v>
      </c>
      <c r="BO21" s="5">
        <f t="shared" si="31"/>
        <v>1563.3105397633585</v>
      </c>
      <c r="BP21" s="5">
        <f t="shared" si="32"/>
        <v>168.15192571990087</v>
      </c>
      <c r="BR21" s="5">
        <f t="shared" si="33"/>
        <v>1886.0736023456232</v>
      </c>
      <c r="BS21" s="5">
        <f t="shared" si="34"/>
        <v>596.02234587118915</v>
      </c>
      <c r="BT21" s="5">
        <f t="shared" si="35"/>
        <v>2482.0959482168123</v>
      </c>
      <c r="BU21" s="5">
        <f t="shared" si="36"/>
        <v>266.9778031288642</v>
      </c>
      <c r="BW21" s="5">
        <f t="shared" si="37"/>
        <v>111895.27451012732</v>
      </c>
      <c r="BX21" s="5">
        <f t="shared" si="38"/>
        <v>35360.276461366549</v>
      </c>
      <c r="BY21" s="5">
        <f t="shared" si="39"/>
        <v>147255.55097149388</v>
      </c>
      <c r="BZ21" s="5">
        <f t="shared" si="40"/>
        <v>15839.018441307178</v>
      </c>
      <c r="CB21" s="5">
        <f t="shared" si="41"/>
        <v>574.30437224465106</v>
      </c>
      <c r="CC21" s="5">
        <f t="shared" si="42"/>
        <v>181.4872117204954</v>
      </c>
      <c r="CD21" s="5">
        <f t="shared" si="43"/>
        <v>755.7915839651464</v>
      </c>
      <c r="CE21" s="5">
        <f t="shared" si="44"/>
        <v>81.29402767659397</v>
      </c>
      <c r="CG21" s="5">
        <f t="shared" si="45"/>
        <v>24656.868389514922</v>
      </c>
      <c r="CH21" s="5">
        <f t="shared" si="46"/>
        <v>7791.8722371592803</v>
      </c>
      <c r="CI21" s="5">
        <f t="shared" si="47"/>
        <v>32448.740626674204</v>
      </c>
      <c r="CJ21" s="5">
        <f t="shared" si="48"/>
        <v>3490.2331205332912</v>
      </c>
      <c r="CL21" s="5">
        <f t="shared" si="49"/>
        <v>28448.949033908695</v>
      </c>
      <c r="CM21" s="5">
        <f t="shared" si="50"/>
        <v>8990.2161398539811</v>
      </c>
      <c r="CN21" s="5">
        <f t="shared" si="51"/>
        <v>37439.165173762674</v>
      </c>
      <c r="CO21" s="5">
        <f t="shared" si="52"/>
        <v>4027.0103483512617</v>
      </c>
      <c r="CQ21" s="5">
        <f t="shared" si="53"/>
        <v>291113.06549639715</v>
      </c>
      <c r="CR21" s="5">
        <f t="shared" si="54"/>
        <v>91995.292227795071</v>
      </c>
      <c r="CS21" s="5">
        <f t="shared" si="55"/>
        <v>383108.3577241922</v>
      </c>
      <c r="CT21" s="5">
        <f t="shared" si="56"/>
        <v>41207.684891872494</v>
      </c>
      <c r="CV21" s="5">
        <f t="shared" si="57"/>
        <v>264072.25108880084</v>
      </c>
      <c r="CW21" s="5">
        <f t="shared" si="58"/>
        <v>83450.063866908677</v>
      </c>
      <c r="CX21" s="5">
        <f t="shared" si="59"/>
        <v>347522.3149557095</v>
      </c>
      <c r="CY21" s="5">
        <f t="shared" si="60"/>
        <v>37379.99904950818</v>
      </c>
      <c r="DA21" s="5">
        <f t="shared" si="61"/>
        <v>26308.431792713342</v>
      </c>
      <c r="DB21" s="5">
        <f t="shared" si="62"/>
        <v>8313.7864894477971</v>
      </c>
      <c r="DC21" s="5">
        <f t="shared" si="63"/>
        <v>34622.218282161135</v>
      </c>
      <c r="DD21" s="5">
        <f t="shared" si="64"/>
        <v>3724.0154970882563</v>
      </c>
      <c r="DF21" s="5">
        <f t="shared" si="65"/>
        <v>910791.1131659816</v>
      </c>
      <c r="DG21" s="5">
        <f t="shared" si="66"/>
        <v>287821.14080420835</v>
      </c>
      <c r="DH21" s="5">
        <f t="shared" si="67"/>
        <v>1198612.25397019</v>
      </c>
      <c r="DI21" s="5">
        <f t="shared" si="68"/>
        <v>128924.45459177114</v>
      </c>
      <c r="DK21" s="5">
        <f t="shared" si="69"/>
        <v>1882948.959167521</v>
      </c>
      <c r="DL21" s="5">
        <f t="shared" si="70"/>
        <v>595034.92037798103</v>
      </c>
      <c r="DM21" s="5">
        <f t="shared" si="71"/>
        <v>2477983.8795455019</v>
      </c>
      <c r="DN21" s="5">
        <f t="shared" si="72"/>
        <v>266535.50311988586</v>
      </c>
      <c r="DP21" s="5">
        <f t="shared" si="73"/>
        <v>369.36338828348778</v>
      </c>
      <c r="DQ21" s="5">
        <f t="shared" si="74"/>
        <v>116.7233520949905</v>
      </c>
      <c r="DR21" s="5">
        <f t="shared" si="75"/>
        <v>486.08674037847828</v>
      </c>
      <c r="DS21" s="5">
        <f t="shared" si="76"/>
        <v>52.284187551069174</v>
      </c>
      <c r="DU21" s="5">
        <f t="shared" si="77"/>
        <v>0</v>
      </c>
      <c r="DV21" s="5">
        <f t="shared" si="78"/>
        <v>0</v>
      </c>
      <c r="DW21" s="5">
        <f t="shared" si="79"/>
        <v>0</v>
      </c>
      <c r="DX21" s="5">
        <f t="shared" si="80"/>
        <v>0</v>
      </c>
      <c r="ED21" s="5"/>
      <c r="EE21" s="5"/>
      <c r="EF21" s="5"/>
      <c r="EG21" s="5"/>
      <c r="EH21" s="5"/>
      <c r="EI21" s="5"/>
    </row>
    <row r="22" spans="1:139" ht="12" customHeight="1" x14ac:dyDescent="0.2">
      <c r="A22" s="28">
        <v>11232</v>
      </c>
      <c r="D22" s="3">
        <v>1298700</v>
      </c>
      <c r="E22" s="3">
        <v>285756</v>
      </c>
      <c r="G22" s="3">
        <v>1545275</v>
      </c>
      <c r="H22" s="3">
        <v>751642</v>
      </c>
      <c r="J22" s="3">
        <v>39250</v>
      </c>
      <c r="K22" s="3">
        <v>166259</v>
      </c>
      <c r="M22" s="3">
        <v>179375</v>
      </c>
      <c r="N22" s="3">
        <v>345072</v>
      </c>
      <c r="P22" s="3">
        <f t="shared" si="0"/>
        <v>3062600</v>
      </c>
      <c r="Q22" s="3">
        <f t="shared" si="1"/>
        <v>3062600</v>
      </c>
      <c r="R22" s="3">
        <f t="shared" si="2"/>
        <v>1548729</v>
      </c>
      <c r="T22" s="3">
        <f>'10-Year FR Revised'!H21</f>
        <v>0</v>
      </c>
      <c r="U22" s="3">
        <f>'10-Year FR Revised'!I21</f>
        <v>39249.999999999993</v>
      </c>
      <c r="V22" s="5">
        <f t="shared" si="3"/>
        <v>39249.999999999993</v>
      </c>
      <c r="W22" s="3">
        <f>'10-Year FR Revised'!K21</f>
        <v>166258.99999999994</v>
      </c>
      <c r="Z22" s="5">
        <f t="shared" si="4"/>
        <v>1298700</v>
      </c>
      <c r="AA22" s="5">
        <f t="shared" si="5"/>
        <v>1298700</v>
      </c>
      <c r="AB22" s="5">
        <f t="shared" si="4"/>
        <v>285756</v>
      </c>
      <c r="AD22" s="5"/>
      <c r="AE22" s="5">
        <f t="shared" si="6"/>
        <v>215340.82362000001</v>
      </c>
      <c r="AF22" s="5">
        <f t="shared" si="7"/>
        <v>215340.82362000001</v>
      </c>
      <c r="AG22" s="5">
        <f t="shared" si="8"/>
        <v>47381.945325599998</v>
      </c>
      <c r="AJ22" s="5">
        <f t="shared" si="9"/>
        <v>1083359.1763800001</v>
      </c>
      <c r="AK22" s="5">
        <f t="shared" si="10"/>
        <v>1083359.1763800001</v>
      </c>
      <c r="AL22" s="5">
        <f t="shared" si="11"/>
        <v>238374.05467440002</v>
      </c>
      <c r="AN22" s="5">
        <f>'20-Yrs Acad Revised'!H21</f>
        <v>0</v>
      </c>
      <c r="AO22" s="5">
        <f>'20-Yrs Acad Revised'!I21</f>
        <v>150727.05458344231</v>
      </c>
      <c r="AP22" s="5">
        <f t="shared" si="12"/>
        <v>150727.05458344231</v>
      </c>
      <c r="AQ22" s="5">
        <f>'20-Yrs Acad Revised'!K21</f>
        <v>73315.613571181675</v>
      </c>
      <c r="AS22" s="3">
        <f t="shared" si="13"/>
        <v>0</v>
      </c>
      <c r="AT22" s="3">
        <f t="shared" si="14"/>
        <v>1394547.9454165576</v>
      </c>
      <c r="AU22" s="5">
        <f t="shared" si="15"/>
        <v>1394547.9454165576</v>
      </c>
      <c r="AV22" s="3">
        <f t="shared" si="16"/>
        <v>678326.38642881834</v>
      </c>
      <c r="AX22" s="5">
        <f t="shared" si="17"/>
        <v>0</v>
      </c>
      <c r="AY22" s="5">
        <f t="shared" si="18"/>
        <v>82172.267187030971</v>
      </c>
      <c r="AZ22" s="5">
        <f t="shared" si="19"/>
        <v>82172.267187030971</v>
      </c>
      <c r="BA22" s="5">
        <f t="shared" si="20"/>
        <v>39969.667051492019</v>
      </c>
      <c r="BC22" s="5">
        <f t="shared" si="21"/>
        <v>0</v>
      </c>
      <c r="BD22" s="5">
        <f t="shared" si="22"/>
        <v>249375.88817713657</v>
      </c>
      <c r="BE22" s="5">
        <f t="shared" si="23"/>
        <v>249375.88817713657</v>
      </c>
      <c r="BF22" s="5">
        <f t="shared" si="24"/>
        <v>121299.69833281408</v>
      </c>
      <c r="BH22" s="5">
        <f t="shared" si="25"/>
        <v>0</v>
      </c>
      <c r="BI22" s="5">
        <f t="shared" si="26"/>
        <v>31578.907113151916</v>
      </c>
      <c r="BJ22" s="5">
        <f t="shared" si="27"/>
        <v>31578.907113151916</v>
      </c>
      <c r="BK22" s="5">
        <f t="shared" si="28"/>
        <v>15360.394040118252</v>
      </c>
      <c r="BM22" s="5">
        <f t="shared" si="29"/>
        <v>0</v>
      </c>
      <c r="BN22" s="5">
        <f t="shared" si="30"/>
        <v>345.69777502696735</v>
      </c>
      <c r="BO22" s="5">
        <f t="shared" si="31"/>
        <v>345.69777502696735</v>
      </c>
      <c r="BP22" s="5">
        <f t="shared" si="32"/>
        <v>168.15192571990087</v>
      </c>
      <c r="BR22" s="5">
        <f t="shared" si="33"/>
        <v>0</v>
      </c>
      <c r="BS22" s="5">
        <f t="shared" si="34"/>
        <v>548.87050581254857</v>
      </c>
      <c r="BT22" s="5">
        <f t="shared" si="35"/>
        <v>548.87050581254857</v>
      </c>
      <c r="BU22" s="5">
        <f t="shared" si="36"/>
        <v>266.9778031288642</v>
      </c>
      <c r="BW22" s="5">
        <f t="shared" si="37"/>
        <v>0</v>
      </c>
      <c r="BX22" s="5">
        <f t="shared" si="38"/>
        <v>32562.894598613369</v>
      </c>
      <c r="BY22" s="5">
        <f t="shared" si="39"/>
        <v>32562.894598613369</v>
      </c>
      <c r="BZ22" s="5">
        <f t="shared" si="40"/>
        <v>15839.018441307178</v>
      </c>
      <c r="CB22" s="5">
        <f t="shared" si="41"/>
        <v>0</v>
      </c>
      <c r="CC22" s="5">
        <f t="shared" si="42"/>
        <v>167.12960241437912</v>
      </c>
      <c r="CD22" s="5">
        <f t="shared" si="43"/>
        <v>167.12960241437912</v>
      </c>
      <c r="CE22" s="5">
        <f t="shared" si="44"/>
        <v>81.29402767659397</v>
      </c>
      <c r="CG22" s="5">
        <f t="shared" si="45"/>
        <v>0</v>
      </c>
      <c r="CH22" s="5">
        <f t="shared" si="46"/>
        <v>7175.4505274214071</v>
      </c>
      <c r="CI22" s="5">
        <f t="shared" si="47"/>
        <v>7175.4505274214071</v>
      </c>
      <c r="CJ22" s="5">
        <f t="shared" si="48"/>
        <v>3490.2331205332912</v>
      </c>
      <c r="CL22" s="5">
        <f t="shared" si="49"/>
        <v>0</v>
      </c>
      <c r="CM22" s="5">
        <f t="shared" si="50"/>
        <v>8278.9924140062631</v>
      </c>
      <c r="CN22" s="5">
        <f t="shared" si="51"/>
        <v>8278.9924140062631</v>
      </c>
      <c r="CO22" s="5">
        <f t="shared" si="52"/>
        <v>4027.0103483512617</v>
      </c>
      <c r="CQ22" s="5">
        <f t="shared" si="53"/>
        <v>0</v>
      </c>
      <c r="CR22" s="5">
        <f t="shared" si="54"/>
        <v>84717.465590385153</v>
      </c>
      <c r="CS22" s="5">
        <f t="shared" si="55"/>
        <v>84717.465590385153</v>
      </c>
      <c r="CT22" s="5">
        <f t="shared" si="56"/>
        <v>41207.684891872494</v>
      </c>
      <c r="CV22" s="5">
        <f t="shared" si="57"/>
        <v>0</v>
      </c>
      <c r="CW22" s="5">
        <f t="shared" si="58"/>
        <v>76848.257589688656</v>
      </c>
      <c r="CX22" s="5">
        <f t="shared" si="59"/>
        <v>76848.257589688656</v>
      </c>
      <c r="CY22" s="5">
        <f t="shared" si="60"/>
        <v>37379.99904950818</v>
      </c>
      <c r="DA22" s="5">
        <f t="shared" si="61"/>
        <v>0</v>
      </c>
      <c r="DB22" s="5">
        <f t="shared" si="62"/>
        <v>7656.0756946299643</v>
      </c>
      <c r="DC22" s="5">
        <f t="shared" si="63"/>
        <v>7656.0756946299643</v>
      </c>
      <c r="DD22" s="5">
        <f t="shared" si="64"/>
        <v>3724.0154970882563</v>
      </c>
      <c r="DF22" s="5">
        <f t="shared" si="65"/>
        <v>0</v>
      </c>
      <c r="DG22" s="5">
        <f t="shared" si="66"/>
        <v>265051.36297505879</v>
      </c>
      <c r="DH22" s="5">
        <f t="shared" si="67"/>
        <v>265051.36297505879</v>
      </c>
      <c r="DI22" s="5">
        <f t="shared" si="68"/>
        <v>128924.45459177114</v>
      </c>
      <c r="DK22" s="5">
        <f t="shared" si="69"/>
        <v>0</v>
      </c>
      <c r="DL22" s="5">
        <f t="shared" si="70"/>
        <v>547961.19639879302</v>
      </c>
      <c r="DM22" s="5">
        <f t="shared" si="71"/>
        <v>547961.19639879302</v>
      </c>
      <c r="DN22" s="5">
        <f t="shared" si="72"/>
        <v>266535.50311988586</v>
      </c>
      <c r="DP22" s="5">
        <f t="shared" si="73"/>
        <v>0</v>
      </c>
      <c r="DQ22" s="5">
        <f t="shared" si="74"/>
        <v>107.48926738790331</v>
      </c>
      <c r="DR22" s="5">
        <f t="shared" si="75"/>
        <v>107.48926738790331</v>
      </c>
      <c r="DS22" s="5">
        <f t="shared" si="76"/>
        <v>52.284187551069174</v>
      </c>
      <c r="DU22" s="5">
        <f t="shared" si="77"/>
        <v>0</v>
      </c>
      <c r="DV22" s="5">
        <f t="shared" si="78"/>
        <v>0</v>
      </c>
      <c r="DW22" s="5">
        <f t="shared" si="79"/>
        <v>0</v>
      </c>
      <c r="DX22" s="5">
        <f t="shared" si="80"/>
        <v>0</v>
      </c>
      <c r="ED22" s="5"/>
      <c r="EE22" s="5"/>
      <c r="EF22" s="5"/>
      <c r="EG22" s="5"/>
      <c r="EH22" s="5"/>
      <c r="EI22" s="5"/>
    </row>
    <row r="23" spans="1:139" ht="12" customHeight="1" x14ac:dyDescent="0.2">
      <c r="A23" s="28">
        <v>11414</v>
      </c>
      <c r="C23" s="3">
        <v>0</v>
      </c>
      <c r="D23" s="3">
        <v>1298700</v>
      </c>
      <c r="E23" s="3">
        <v>285756</v>
      </c>
      <c r="F23" s="3">
        <v>5575000</v>
      </c>
      <c r="G23" s="3">
        <v>1545275</v>
      </c>
      <c r="H23" s="3">
        <v>751642</v>
      </c>
      <c r="I23" s="3">
        <v>1570000</v>
      </c>
      <c r="J23" s="3">
        <v>39250</v>
      </c>
      <c r="K23" s="3">
        <v>166259</v>
      </c>
      <c r="L23" s="3">
        <v>7175000</v>
      </c>
      <c r="M23" s="3">
        <v>179375</v>
      </c>
      <c r="N23" s="3">
        <v>345072</v>
      </c>
      <c r="O23" s="3">
        <f t="shared" si="81"/>
        <v>14320000</v>
      </c>
      <c r="P23" s="3">
        <f t="shared" si="0"/>
        <v>3062600</v>
      </c>
      <c r="Q23" s="3">
        <f t="shared" si="1"/>
        <v>17382600</v>
      </c>
      <c r="R23" s="3">
        <f t="shared" si="2"/>
        <v>1548729</v>
      </c>
      <c r="T23" s="3">
        <f>'10-Year FR Revised'!H22</f>
        <v>1570000</v>
      </c>
      <c r="U23" s="3">
        <f>'10-Year FR Revised'!I22</f>
        <v>39249.999999999993</v>
      </c>
      <c r="V23" s="5">
        <f t="shared" si="3"/>
        <v>1609250</v>
      </c>
      <c r="W23" s="3">
        <f>'10-Year FR Revised'!K22</f>
        <v>166258.99999999994</v>
      </c>
      <c r="Y23" s="5">
        <f>AD23+AI23</f>
        <v>0</v>
      </c>
      <c r="Z23" s="5">
        <f t="shared" si="4"/>
        <v>1298700</v>
      </c>
      <c r="AA23" s="5">
        <f t="shared" si="5"/>
        <v>1298700</v>
      </c>
      <c r="AB23" s="5">
        <f t="shared" si="4"/>
        <v>285756</v>
      </c>
      <c r="AD23" s="5">
        <f>C23*$AE$7</f>
        <v>0</v>
      </c>
      <c r="AE23" s="5">
        <f t="shared" si="6"/>
        <v>215340.82362000001</v>
      </c>
      <c r="AF23" s="5">
        <f t="shared" si="7"/>
        <v>215340.82362000001</v>
      </c>
      <c r="AG23" s="5">
        <f t="shared" si="8"/>
        <v>47381.945325599998</v>
      </c>
      <c r="AI23" s="5">
        <f>C23*$AJ$7</f>
        <v>0</v>
      </c>
      <c r="AJ23" s="5">
        <f t="shared" si="9"/>
        <v>1083359.1763800001</v>
      </c>
      <c r="AK23" s="5">
        <f t="shared" si="10"/>
        <v>1083359.1763800001</v>
      </c>
      <c r="AL23" s="5">
        <f t="shared" si="11"/>
        <v>238374.05467440002</v>
      </c>
      <c r="AN23" s="5">
        <f>'20-Yrs Acad Revised'!H22</f>
        <v>543788.85913684673</v>
      </c>
      <c r="AO23" s="5">
        <f>'20-Yrs Acad Revised'!I22</f>
        <v>150727.05458344231</v>
      </c>
      <c r="AP23" s="5">
        <f t="shared" si="12"/>
        <v>694515.91372028901</v>
      </c>
      <c r="AQ23" s="5">
        <f>'20-Yrs Acad Revised'!K22</f>
        <v>73315.613571181675</v>
      </c>
      <c r="AS23" s="3">
        <f t="shared" si="13"/>
        <v>5031211.1408631541</v>
      </c>
      <c r="AT23" s="3">
        <f t="shared" si="14"/>
        <v>1394547.9454165576</v>
      </c>
      <c r="AU23" s="5">
        <f t="shared" si="15"/>
        <v>6425759.0862797117</v>
      </c>
      <c r="AV23" s="3">
        <f t="shared" si="16"/>
        <v>678326.38642881834</v>
      </c>
      <c r="AX23" s="5">
        <f t="shared" si="17"/>
        <v>296458.81125864177</v>
      </c>
      <c r="AY23" s="5">
        <f t="shared" si="18"/>
        <v>82172.267187030971</v>
      </c>
      <c r="AZ23" s="5">
        <f t="shared" si="19"/>
        <v>378631.07844567276</v>
      </c>
      <c r="BA23" s="5">
        <f t="shared" si="20"/>
        <v>39969.667051492019</v>
      </c>
      <c r="BC23" s="5">
        <f t="shared" si="21"/>
        <v>899691.36664188339</v>
      </c>
      <c r="BD23" s="5">
        <f t="shared" si="22"/>
        <v>249375.88817713657</v>
      </c>
      <c r="BE23" s="5">
        <f t="shared" si="23"/>
        <v>1149067.2548190199</v>
      </c>
      <c r="BF23" s="5">
        <f t="shared" si="24"/>
        <v>121299.69833281408</v>
      </c>
      <c r="BH23" s="5">
        <f t="shared" si="25"/>
        <v>113929.49938090109</v>
      </c>
      <c r="BI23" s="5">
        <f t="shared" si="26"/>
        <v>31578.907113151916</v>
      </c>
      <c r="BJ23" s="5">
        <f t="shared" si="27"/>
        <v>145508.40649405302</v>
      </c>
      <c r="BK23" s="5">
        <f t="shared" si="28"/>
        <v>15360.394040118252</v>
      </c>
      <c r="BM23" s="5">
        <f t="shared" si="29"/>
        <v>1247.1987806541511</v>
      </c>
      <c r="BN23" s="5">
        <f t="shared" si="30"/>
        <v>345.69777502696735</v>
      </c>
      <c r="BO23" s="5">
        <f t="shared" si="31"/>
        <v>1592.8965556811183</v>
      </c>
      <c r="BP23" s="5">
        <f t="shared" si="32"/>
        <v>168.15192571990087</v>
      </c>
      <c r="BR23" s="5">
        <f t="shared" si="33"/>
        <v>1980.1996860785025</v>
      </c>
      <c r="BS23" s="5">
        <f t="shared" si="34"/>
        <v>548.87050581254857</v>
      </c>
      <c r="BT23" s="5">
        <f t="shared" si="35"/>
        <v>2529.0701918910509</v>
      </c>
      <c r="BU23" s="5">
        <f t="shared" si="36"/>
        <v>266.9778031288642</v>
      </c>
      <c r="BW23" s="5">
        <f t="shared" si="37"/>
        <v>117479.50195743122</v>
      </c>
      <c r="BX23" s="5">
        <f t="shared" si="38"/>
        <v>32562.894598613369</v>
      </c>
      <c r="BY23" s="5">
        <f t="shared" si="39"/>
        <v>150042.39655604458</v>
      </c>
      <c r="BZ23" s="5">
        <f t="shared" si="40"/>
        <v>15839.018441307178</v>
      </c>
      <c r="CB23" s="5">
        <f t="shared" si="41"/>
        <v>602.96551323237838</v>
      </c>
      <c r="CC23" s="5">
        <f t="shared" si="42"/>
        <v>167.12960241437912</v>
      </c>
      <c r="CD23" s="5">
        <f t="shared" si="43"/>
        <v>770.09511564675745</v>
      </c>
      <c r="CE23" s="5">
        <f t="shared" si="44"/>
        <v>81.29402767659397</v>
      </c>
      <c r="CG23" s="5">
        <f t="shared" si="45"/>
        <v>25887.390069970941</v>
      </c>
      <c r="CH23" s="5">
        <f t="shared" si="46"/>
        <v>7175.4505274214071</v>
      </c>
      <c r="CI23" s="5">
        <f t="shared" si="47"/>
        <v>33062.840597392351</v>
      </c>
      <c r="CJ23" s="5">
        <f t="shared" si="48"/>
        <v>3490.2331205332912</v>
      </c>
      <c r="CL23" s="5">
        <f t="shared" si="49"/>
        <v>29868.717676843873</v>
      </c>
      <c r="CM23" s="5">
        <f t="shared" si="50"/>
        <v>8278.9924140062631</v>
      </c>
      <c r="CN23" s="5">
        <f t="shared" si="51"/>
        <v>38147.710090850138</v>
      </c>
      <c r="CO23" s="5">
        <f t="shared" si="52"/>
        <v>4027.0103483512617</v>
      </c>
      <c r="CQ23" s="5">
        <f t="shared" si="53"/>
        <v>305641.30699480494</v>
      </c>
      <c r="CR23" s="5">
        <f t="shared" si="54"/>
        <v>84717.465590385153</v>
      </c>
      <c r="CS23" s="5">
        <f t="shared" si="55"/>
        <v>390358.77258519008</v>
      </c>
      <c r="CT23" s="5">
        <f t="shared" si="56"/>
        <v>41207.684891872494</v>
      </c>
      <c r="CV23" s="5">
        <f t="shared" si="57"/>
        <v>277250.99808287469</v>
      </c>
      <c r="CW23" s="5">
        <f t="shared" si="58"/>
        <v>76848.257589688656</v>
      </c>
      <c r="CX23" s="5">
        <f t="shared" si="59"/>
        <v>354099.25567256333</v>
      </c>
      <c r="CY23" s="5">
        <f t="shared" si="60"/>
        <v>37379.99904950818</v>
      </c>
      <c r="DA23" s="5">
        <f t="shared" si="61"/>
        <v>27621.376128884534</v>
      </c>
      <c r="DB23" s="5">
        <f t="shared" si="62"/>
        <v>7656.0756946299643</v>
      </c>
      <c r="DC23" s="5">
        <f t="shared" si="63"/>
        <v>35277.451823514501</v>
      </c>
      <c r="DD23" s="5">
        <f t="shared" si="64"/>
        <v>3724.0154970882563</v>
      </c>
      <c r="DF23" s="5">
        <f t="shared" si="65"/>
        <v>956244.9069492179</v>
      </c>
      <c r="DG23" s="5">
        <f t="shared" si="66"/>
        <v>265051.36297505879</v>
      </c>
      <c r="DH23" s="5">
        <f t="shared" si="67"/>
        <v>1221296.2699242767</v>
      </c>
      <c r="DI23" s="5">
        <f t="shared" si="68"/>
        <v>128924.45459177114</v>
      </c>
      <c r="DK23" s="5">
        <f t="shared" si="69"/>
        <v>1976919.1049640169</v>
      </c>
      <c r="DL23" s="5">
        <f t="shared" si="70"/>
        <v>547961.19639879302</v>
      </c>
      <c r="DM23" s="5">
        <f t="shared" si="71"/>
        <v>2524880.3013628097</v>
      </c>
      <c r="DN23" s="5">
        <f t="shared" si="72"/>
        <v>266535.50311988586</v>
      </c>
      <c r="DP23" s="5">
        <f t="shared" si="73"/>
        <v>387.79677771759782</v>
      </c>
      <c r="DQ23" s="5">
        <f t="shared" si="74"/>
        <v>107.48926738790331</v>
      </c>
      <c r="DR23" s="5">
        <f t="shared" si="75"/>
        <v>495.2860451055011</v>
      </c>
      <c r="DS23" s="5">
        <f t="shared" si="76"/>
        <v>52.284187551069174</v>
      </c>
      <c r="DU23" s="5">
        <f t="shared" si="77"/>
        <v>0</v>
      </c>
      <c r="DV23" s="5">
        <f t="shared" si="78"/>
        <v>0</v>
      </c>
      <c r="DW23" s="5">
        <f t="shared" si="79"/>
        <v>0</v>
      </c>
      <c r="DX23" s="5">
        <f t="shared" si="80"/>
        <v>0</v>
      </c>
      <c r="ED23" s="5"/>
      <c r="EE23" s="5"/>
      <c r="EF23" s="5"/>
      <c r="EG23" s="5"/>
      <c r="EH23" s="5"/>
      <c r="EI23" s="5"/>
    </row>
    <row r="24" spans="1:139" ht="12" customHeight="1" x14ac:dyDescent="0.2">
      <c r="A24" s="28">
        <v>11597</v>
      </c>
      <c r="D24" s="3">
        <v>1298700</v>
      </c>
      <c r="E24" s="3">
        <v>285756</v>
      </c>
      <c r="G24" s="3">
        <v>1405900</v>
      </c>
      <c r="H24" s="3">
        <v>751642</v>
      </c>
      <c r="P24" s="3">
        <f t="shared" si="0"/>
        <v>2704600</v>
      </c>
      <c r="Q24" s="3">
        <f t="shared" si="1"/>
        <v>2704600</v>
      </c>
      <c r="R24" s="3">
        <f t="shared" si="2"/>
        <v>1037398</v>
      </c>
      <c r="T24" s="3"/>
      <c r="U24" s="3"/>
      <c r="W24" s="3"/>
      <c r="Z24" s="5">
        <f t="shared" si="4"/>
        <v>1298700</v>
      </c>
      <c r="AA24" s="5">
        <f t="shared" si="5"/>
        <v>1298700</v>
      </c>
      <c r="AB24" s="5">
        <f t="shared" si="4"/>
        <v>285756</v>
      </c>
      <c r="AD24" s="5"/>
      <c r="AE24" s="5">
        <f t="shared" si="6"/>
        <v>215340.82362000001</v>
      </c>
      <c r="AF24" s="5">
        <f t="shared" si="7"/>
        <v>215340.82362000001</v>
      </c>
      <c r="AG24" s="5">
        <f t="shared" si="8"/>
        <v>47381.945325599998</v>
      </c>
      <c r="AJ24" s="5">
        <f t="shared" si="9"/>
        <v>1083359.1763800001</v>
      </c>
      <c r="AK24" s="5">
        <f t="shared" si="10"/>
        <v>1083359.1763800001</v>
      </c>
      <c r="AL24" s="5">
        <f t="shared" si="11"/>
        <v>238374.05467440002</v>
      </c>
      <c r="AN24" s="5">
        <f>'20-Yrs Acad Revised'!H23</f>
        <v>0</v>
      </c>
      <c r="AO24" s="5">
        <f>'20-Yrs Acad Revised'!I23</f>
        <v>137132.33310502116</v>
      </c>
      <c r="AP24" s="5">
        <f t="shared" si="12"/>
        <v>137132.33310502116</v>
      </c>
      <c r="AQ24" s="5">
        <f>'20-Yrs Acad Revised'!K23</f>
        <v>73315.613571181675</v>
      </c>
      <c r="AS24" s="3">
        <f t="shared" si="13"/>
        <v>0</v>
      </c>
      <c r="AT24" s="3">
        <f t="shared" si="14"/>
        <v>1268767.6668949793</v>
      </c>
      <c r="AU24" s="5">
        <f t="shared" si="15"/>
        <v>1268767.6668949793</v>
      </c>
      <c r="AV24" s="3">
        <f t="shared" si="16"/>
        <v>678326.38642881834</v>
      </c>
      <c r="AX24" s="5">
        <f t="shared" si="17"/>
        <v>0</v>
      </c>
      <c r="AY24" s="5">
        <f t="shared" si="18"/>
        <v>74760.79690556493</v>
      </c>
      <c r="AZ24" s="5">
        <f t="shared" si="19"/>
        <v>74760.79690556493</v>
      </c>
      <c r="BA24" s="5">
        <f t="shared" si="20"/>
        <v>39969.667051492019</v>
      </c>
      <c r="BC24" s="5">
        <f t="shared" si="21"/>
        <v>0</v>
      </c>
      <c r="BD24" s="5">
        <f t="shared" si="22"/>
        <v>226883.60401108948</v>
      </c>
      <c r="BE24" s="5">
        <f t="shared" si="23"/>
        <v>226883.60401108948</v>
      </c>
      <c r="BF24" s="5">
        <f t="shared" si="24"/>
        <v>121299.69833281408</v>
      </c>
      <c r="BH24" s="5">
        <f t="shared" si="25"/>
        <v>0</v>
      </c>
      <c r="BI24" s="5">
        <f t="shared" si="26"/>
        <v>28730.669628629388</v>
      </c>
      <c r="BJ24" s="5">
        <f t="shared" si="27"/>
        <v>28730.669628629388</v>
      </c>
      <c r="BK24" s="5">
        <f t="shared" si="28"/>
        <v>15360.394040118252</v>
      </c>
      <c r="BM24" s="5">
        <f t="shared" si="29"/>
        <v>0</v>
      </c>
      <c r="BN24" s="5">
        <f t="shared" si="30"/>
        <v>314.51780551061358</v>
      </c>
      <c r="BO24" s="5">
        <f t="shared" si="31"/>
        <v>314.51780551061358</v>
      </c>
      <c r="BP24" s="5">
        <f t="shared" si="32"/>
        <v>168.15192571990087</v>
      </c>
      <c r="BR24" s="5">
        <f t="shared" si="33"/>
        <v>0</v>
      </c>
      <c r="BS24" s="5">
        <f t="shared" si="34"/>
        <v>499.36551366058598</v>
      </c>
      <c r="BT24" s="5">
        <f t="shared" si="35"/>
        <v>499.36551366058598</v>
      </c>
      <c r="BU24" s="5">
        <f t="shared" si="36"/>
        <v>266.9778031288642</v>
      </c>
      <c r="BW24" s="5">
        <f t="shared" si="37"/>
        <v>0</v>
      </c>
      <c r="BX24" s="5">
        <f t="shared" si="38"/>
        <v>29625.907049677589</v>
      </c>
      <c r="BY24" s="5">
        <f t="shared" si="39"/>
        <v>29625.907049677589</v>
      </c>
      <c r="BZ24" s="5">
        <f t="shared" si="40"/>
        <v>15839.018441307178</v>
      </c>
      <c r="CB24" s="5">
        <f t="shared" si="41"/>
        <v>0</v>
      </c>
      <c r="CC24" s="5">
        <f t="shared" si="42"/>
        <v>152.05546458356966</v>
      </c>
      <c r="CD24" s="5">
        <f t="shared" si="43"/>
        <v>152.05546458356966</v>
      </c>
      <c r="CE24" s="5">
        <f t="shared" si="44"/>
        <v>81.29402767659397</v>
      </c>
      <c r="CG24" s="5">
        <f t="shared" si="45"/>
        <v>0</v>
      </c>
      <c r="CH24" s="5">
        <f t="shared" si="46"/>
        <v>6528.2657756721337</v>
      </c>
      <c r="CI24" s="5">
        <f t="shared" si="47"/>
        <v>6528.2657756721337</v>
      </c>
      <c r="CJ24" s="5">
        <f t="shared" si="48"/>
        <v>3490.2331205332912</v>
      </c>
      <c r="CL24" s="5">
        <f t="shared" si="49"/>
        <v>0</v>
      </c>
      <c r="CM24" s="5">
        <f t="shared" si="50"/>
        <v>7532.2744720851661</v>
      </c>
      <c r="CN24" s="5">
        <f t="shared" si="51"/>
        <v>7532.2744720851661</v>
      </c>
      <c r="CO24" s="5">
        <f t="shared" si="52"/>
        <v>4027.0103483512617</v>
      </c>
      <c r="CQ24" s="5">
        <f t="shared" si="53"/>
        <v>0</v>
      </c>
      <c r="CR24" s="5">
        <f t="shared" si="54"/>
        <v>77076.432915515019</v>
      </c>
      <c r="CS24" s="5">
        <f t="shared" si="55"/>
        <v>77076.432915515019</v>
      </c>
      <c r="CT24" s="5">
        <f t="shared" si="56"/>
        <v>41207.684891872494</v>
      </c>
      <c r="CV24" s="5">
        <f t="shared" si="57"/>
        <v>0</v>
      </c>
      <c r="CW24" s="5">
        <f t="shared" si="58"/>
        <v>69916.982637616777</v>
      </c>
      <c r="CX24" s="5">
        <f t="shared" si="59"/>
        <v>69916.982637616777</v>
      </c>
      <c r="CY24" s="5">
        <f t="shared" si="60"/>
        <v>37379.99904950818</v>
      </c>
      <c r="DA24" s="5">
        <f t="shared" si="61"/>
        <v>0</v>
      </c>
      <c r="DB24" s="5">
        <f t="shared" si="62"/>
        <v>6965.5412914078506</v>
      </c>
      <c r="DC24" s="5">
        <f t="shared" si="63"/>
        <v>6965.5412914078506</v>
      </c>
      <c r="DD24" s="5">
        <f t="shared" si="64"/>
        <v>3724.0154970882563</v>
      </c>
      <c r="DF24" s="5">
        <f t="shared" si="65"/>
        <v>0</v>
      </c>
      <c r="DG24" s="5">
        <f t="shared" si="66"/>
        <v>241145.24030132833</v>
      </c>
      <c r="DH24" s="5">
        <f t="shared" si="67"/>
        <v>241145.24030132833</v>
      </c>
      <c r="DI24" s="5">
        <f t="shared" si="68"/>
        <v>128924.45459177114</v>
      </c>
      <c r="DK24" s="5">
        <f t="shared" si="69"/>
        <v>0</v>
      </c>
      <c r="DL24" s="5">
        <f t="shared" si="70"/>
        <v>498538.21877469262</v>
      </c>
      <c r="DM24" s="5">
        <f t="shared" si="71"/>
        <v>498538.21877469262</v>
      </c>
      <c r="DN24" s="5">
        <f t="shared" si="72"/>
        <v>266535.50311988586</v>
      </c>
      <c r="DP24" s="5">
        <f t="shared" si="73"/>
        <v>0</v>
      </c>
      <c r="DQ24" s="5">
        <f t="shared" si="74"/>
        <v>97.794347944963363</v>
      </c>
      <c r="DR24" s="5">
        <f t="shared" si="75"/>
        <v>97.794347944963363</v>
      </c>
      <c r="DS24" s="5">
        <f t="shared" si="76"/>
        <v>52.284187551069174</v>
      </c>
      <c r="DU24" s="5">
        <f t="shared" si="77"/>
        <v>0</v>
      </c>
      <c r="DV24" s="5">
        <f t="shared" si="78"/>
        <v>0</v>
      </c>
      <c r="DW24" s="5">
        <f t="shared" si="79"/>
        <v>0</v>
      </c>
      <c r="DX24" s="5">
        <f t="shared" si="80"/>
        <v>0</v>
      </c>
      <c r="ED24" s="5"/>
      <c r="EE24" s="5"/>
      <c r="EF24" s="5"/>
      <c r="EG24" s="5"/>
      <c r="EH24" s="5"/>
      <c r="EI24" s="5"/>
    </row>
    <row r="25" spans="1:139" ht="12" customHeight="1" x14ac:dyDescent="0.2">
      <c r="A25" s="28">
        <v>11780</v>
      </c>
      <c r="C25" s="3">
        <v>0</v>
      </c>
      <c r="D25" s="3">
        <v>1298700</v>
      </c>
      <c r="E25" s="3">
        <v>285756</v>
      </c>
      <c r="F25" s="3">
        <v>5855000</v>
      </c>
      <c r="G25" s="3">
        <v>1405900</v>
      </c>
      <c r="H25" s="3">
        <v>751642</v>
      </c>
      <c r="O25" s="3">
        <f t="shared" si="81"/>
        <v>5855000</v>
      </c>
      <c r="P25" s="3">
        <f t="shared" si="0"/>
        <v>2704600</v>
      </c>
      <c r="Q25" s="3">
        <f t="shared" si="1"/>
        <v>8559600</v>
      </c>
      <c r="R25" s="3">
        <f t="shared" si="2"/>
        <v>1037398</v>
      </c>
      <c r="T25" s="3"/>
      <c r="U25" s="3"/>
      <c r="W25" s="3"/>
      <c r="Y25" s="5">
        <f>AD25+AI25</f>
        <v>0</v>
      </c>
      <c r="Z25" s="5">
        <f t="shared" si="4"/>
        <v>1298700</v>
      </c>
      <c r="AA25" s="5">
        <f t="shared" si="5"/>
        <v>1298700</v>
      </c>
      <c r="AB25" s="5">
        <f t="shared" si="4"/>
        <v>285756</v>
      </c>
      <c r="AD25" s="5">
        <f>C25*$AE$7</f>
        <v>0</v>
      </c>
      <c r="AE25" s="5">
        <f t="shared" si="6"/>
        <v>215340.82362000001</v>
      </c>
      <c r="AF25" s="5">
        <f t="shared" si="7"/>
        <v>215340.82362000001</v>
      </c>
      <c r="AG25" s="5">
        <f t="shared" si="8"/>
        <v>47381.945325599998</v>
      </c>
      <c r="AI25" s="5">
        <f>C25*$AJ$7</f>
        <v>0</v>
      </c>
      <c r="AJ25" s="5">
        <f t="shared" si="9"/>
        <v>1083359.1763800001</v>
      </c>
      <c r="AK25" s="5">
        <f t="shared" si="10"/>
        <v>1083359.1763800001</v>
      </c>
      <c r="AL25" s="5">
        <f t="shared" si="11"/>
        <v>238374.05467440002</v>
      </c>
      <c r="AN25" s="5">
        <f>'20-Yrs Acad Revised'!H24</f>
        <v>571100.22784685867</v>
      </c>
      <c r="AO25" s="5">
        <f>'20-Yrs Acad Revised'!I24</f>
        <v>137132.33310502116</v>
      </c>
      <c r="AP25" s="5">
        <f t="shared" si="12"/>
        <v>708232.56095187983</v>
      </c>
      <c r="AQ25" s="5">
        <f>'20-Yrs Acad Revised'!K24</f>
        <v>73315.613571181675</v>
      </c>
      <c r="AS25" s="3">
        <f t="shared" si="13"/>
        <v>5283899.7721531419</v>
      </c>
      <c r="AT25" s="3">
        <f t="shared" si="14"/>
        <v>1268767.6668949793</v>
      </c>
      <c r="AU25" s="5">
        <f t="shared" si="15"/>
        <v>6552667.4390481208</v>
      </c>
      <c r="AV25" s="3">
        <f t="shared" si="16"/>
        <v>678326.38642881834</v>
      </c>
      <c r="AX25" s="5">
        <f t="shared" si="17"/>
        <v>311348.22240705788</v>
      </c>
      <c r="AY25" s="5">
        <f t="shared" si="18"/>
        <v>74760.79690556493</v>
      </c>
      <c r="AZ25" s="5">
        <f t="shared" si="19"/>
        <v>386109.01931262284</v>
      </c>
      <c r="BA25" s="5">
        <f t="shared" si="20"/>
        <v>39969.667051492019</v>
      </c>
      <c r="BC25" s="5">
        <f t="shared" si="21"/>
        <v>944877.65949564613</v>
      </c>
      <c r="BD25" s="5">
        <f t="shared" si="22"/>
        <v>226883.60401108948</v>
      </c>
      <c r="BE25" s="5">
        <f t="shared" si="23"/>
        <v>1171761.2635067357</v>
      </c>
      <c r="BF25" s="5">
        <f t="shared" si="24"/>
        <v>121299.69833281408</v>
      </c>
      <c r="BH25" s="5">
        <f t="shared" si="25"/>
        <v>119651.51908074903</v>
      </c>
      <c r="BI25" s="5">
        <f t="shared" si="26"/>
        <v>28730.669628629388</v>
      </c>
      <c r="BJ25" s="5">
        <f t="shared" si="27"/>
        <v>148382.18870937842</v>
      </c>
      <c r="BK25" s="5">
        <f t="shared" si="28"/>
        <v>15360.394040118252</v>
      </c>
      <c r="BM25" s="5">
        <f t="shared" si="29"/>
        <v>1309.8383606690679</v>
      </c>
      <c r="BN25" s="5">
        <f t="shared" si="30"/>
        <v>314.51780551061358</v>
      </c>
      <c r="BO25" s="5">
        <f t="shared" si="31"/>
        <v>1624.3561661796816</v>
      </c>
      <c r="BP25" s="5">
        <f t="shared" si="32"/>
        <v>168.15192571990087</v>
      </c>
      <c r="BR25" s="5">
        <f t="shared" si="33"/>
        <v>2079.6536613434318</v>
      </c>
      <c r="BS25" s="5">
        <f t="shared" si="34"/>
        <v>499.36551366058598</v>
      </c>
      <c r="BT25" s="5">
        <f t="shared" si="35"/>
        <v>2579.0191750040176</v>
      </c>
      <c r="BU25" s="5">
        <f t="shared" si="36"/>
        <v>266.9778031288642</v>
      </c>
      <c r="BW25" s="5">
        <f t="shared" si="37"/>
        <v>123379.81775080893</v>
      </c>
      <c r="BX25" s="5">
        <f t="shared" si="38"/>
        <v>29625.907049677589</v>
      </c>
      <c r="BY25" s="5">
        <f t="shared" si="39"/>
        <v>153005.72480048653</v>
      </c>
      <c r="BZ25" s="5">
        <f t="shared" si="40"/>
        <v>15839.018441307178</v>
      </c>
      <c r="CB25" s="5">
        <f t="shared" si="41"/>
        <v>633.2489829552602</v>
      </c>
      <c r="CC25" s="5">
        <f t="shared" si="42"/>
        <v>152.05546458356966</v>
      </c>
      <c r="CD25" s="5">
        <f t="shared" si="43"/>
        <v>785.30444753882989</v>
      </c>
      <c r="CE25" s="5">
        <f t="shared" si="44"/>
        <v>81.29402767659397</v>
      </c>
      <c r="CG25" s="5">
        <f t="shared" si="45"/>
        <v>27187.563921018809</v>
      </c>
      <c r="CH25" s="5">
        <f t="shared" si="46"/>
        <v>6528.2657756721337</v>
      </c>
      <c r="CI25" s="5">
        <f t="shared" si="47"/>
        <v>33715.82969669094</v>
      </c>
      <c r="CJ25" s="5">
        <f t="shared" si="48"/>
        <v>3490.2331205332912</v>
      </c>
      <c r="CL25" s="5">
        <f t="shared" si="49"/>
        <v>31368.850582586703</v>
      </c>
      <c r="CM25" s="5">
        <f t="shared" si="50"/>
        <v>7532.2744720851661</v>
      </c>
      <c r="CN25" s="5">
        <f t="shared" si="51"/>
        <v>38901.125054671866</v>
      </c>
      <c r="CO25" s="5">
        <f t="shared" si="52"/>
        <v>4027.0103483512617</v>
      </c>
      <c r="CQ25" s="5">
        <f t="shared" si="53"/>
        <v>320991.90178557538</v>
      </c>
      <c r="CR25" s="5">
        <f t="shared" si="54"/>
        <v>77076.432915515019</v>
      </c>
      <c r="CS25" s="5">
        <f t="shared" si="55"/>
        <v>398068.33470109041</v>
      </c>
      <c r="CT25" s="5">
        <f t="shared" si="56"/>
        <v>41207.684891872494</v>
      </c>
      <c r="CV25" s="5">
        <f t="shared" si="57"/>
        <v>291175.7118879339</v>
      </c>
      <c r="CW25" s="5">
        <f t="shared" si="58"/>
        <v>69916.982637616777</v>
      </c>
      <c r="CX25" s="5">
        <f t="shared" si="59"/>
        <v>361092.6945255507</v>
      </c>
      <c r="CY25" s="5">
        <f t="shared" si="60"/>
        <v>37379.99904950818</v>
      </c>
      <c r="DA25" s="5">
        <f t="shared" si="61"/>
        <v>29008.638068989945</v>
      </c>
      <c r="DB25" s="5">
        <f t="shared" si="62"/>
        <v>6965.5412914078506</v>
      </c>
      <c r="DC25" s="5">
        <f t="shared" si="63"/>
        <v>35974.179360397793</v>
      </c>
      <c r="DD25" s="5">
        <f t="shared" si="64"/>
        <v>3724.0154970882563</v>
      </c>
      <c r="DF25" s="5">
        <f t="shared" si="65"/>
        <v>1004271.5569843356</v>
      </c>
      <c r="DG25" s="5">
        <f t="shared" si="66"/>
        <v>241145.24030132833</v>
      </c>
      <c r="DH25" s="5">
        <f t="shared" si="67"/>
        <v>1245416.7972856639</v>
      </c>
      <c r="DI25" s="5">
        <f t="shared" si="68"/>
        <v>128924.45459177114</v>
      </c>
      <c r="DK25" s="5">
        <f t="shared" si="69"/>
        <v>2076208.3156169183</v>
      </c>
      <c r="DL25" s="5">
        <f t="shared" si="70"/>
        <v>498538.21877469262</v>
      </c>
      <c r="DM25" s="5">
        <f t="shared" si="71"/>
        <v>2574746.5343916109</v>
      </c>
      <c r="DN25" s="5">
        <f t="shared" si="72"/>
        <v>266535.50311988586</v>
      </c>
      <c r="DP25" s="5">
        <f t="shared" si="73"/>
        <v>407.2735665536386</v>
      </c>
      <c r="DQ25" s="5">
        <f t="shared" si="74"/>
        <v>97.794347944963363</v>
      </c>
      <c r="DR25" s="5">
        <f t="shared" si="75"/>
        <v>505.06791449860197</v>
      </c>
      <c r="DS25" s="5">
        <f t="shared" si="76"/>
        <v>52.284187551069174</v>
      </c>
      <c r="DU25" s="5">
        <f t="shared" si="77"/>
        <v>0</v>
      </c>
      <c r="DV25" s="5">
        <f t="shared" si="78"/>
        <v>0</v>
      </c>
      <c r="DW25" s="5">
        <f t="shared" si="79"/>
        <v>0</v>
      </c>
      <c r="DX25" s="5">
        <f t="shared" si="80"/>
        <v>0</v>
      </c>
      <c r="ED25" s="5"/>
      <c r="EE25" s="5"/>
      <c r="EF25" s="5"/>
      <c r="EG25" s="5"/>
      <c r="EH25" s="5"/>
      <c r="EI25" s="5"/>
    </row>
    <row r="26" spans="1:139" ht="12" customHeight="1" x14ac:dyDescent="0.2">
      <c r="A26" s="28">
        <v>11963</v>
      </c>
      <c r="D26" s="3">
        <v>1298700</v>
      </c>
      <c r="E26" s="3">
        <v>285756</v>
      </c>
      <c r="G26" s="3">
        <v>1288800</v>
      </c>
      <c r="H26" s="3">
        <v>751642</v>
      </c>
      <c r="P26" s="3">
        <f t="shared" si="0"/>
        <v>2587500</v>
      </c>
      <c r="Q26" s="3">
        <f t="shared" si="1"/>
        <v>2587500</v>
      </c>
      <c r="R26" s="3">
        <f t="shared" si="2"/>
        <v>1037398</v>
      </c>
      <c r="T26" s="3"/>
      <c r="U26" s="3"/>
      <c r="W26" s="3"/>
      <c r="Z26" s="5">
        <f t="shared" si="4"/>
        <v>1298700</v>
      </c>
      <c r="AA26" s="5">
        <f t="shared" si="5"/>
        <v>1298700</v>
      </c>
      <c r="AB26" s="5">
        <f t="shared" si="4"/>
        <v>285756</v>
      </c>
      <c r="AD26" s="5"/>
      <c r="AE26" s="5">
        <f t="shared" si="6"/>
        <v>215340.82362000001</v>
      </c>
      <c r="AF26" s="5">
        <f t="shared" si="7"/>
        <v>215340.82362000001</v>
      </c>
      <c r="AG26" s="5">
        <f t="shared" si="8"/>
        <v>47381.945325599998</v>
      </c>
      <c r="AJ26" s="5">
        <f t="shared" si="9"/>
        <v>1083359.1763800001</v>
      </c>
      <c r="AK26" s="5">
        <f t="shared" si="10"/>
        <v>1083359.1763800001</v>
      </c>
      <c r="AL26" s="5">
        <f t="shared" si="11"/>
        <v>238374.05467440002</v>
      </c>
      <c r="AN26" s="5">
        <f>'20-Yrs Acad Revised'!H25</f>
        <v>0</v>
      </c>
      <c r="AO26" s="5">
        <f>'20-Yrs Acad Revised'!I25</f>
        <v>125710.32854808397</v>
      </c>
      <c r="AP26" s="5">
        <f t="shared" si="12"/>
        <v>125710.32854808397</v>
      </c>
      <c r="AQ26" s="5">
        <f>'20-Yrs Acad Revised'!K25</f>
        <v>73315.613571181675</v>
      </c>
      <c r="AS26" s="3">
        <f t="shared" si="13"/>
        <v>0</v>
      </c>
      <c r="AT26" s="3">
        <f t="shared" si="14"/>
        <v>1163089.6714519162</v>
      </c>
      <c r="AU26" s="5">
        <f t="shared" si="15"/>
        <v>1163089.6714519162</v>
      </c>
      <c r="AV26" s="3">
        <f t="shared" si="16"/>
        <v>678326.38642881834</v>
      </c>
      <c r="AX26" s="5">
        <f t="shared" si="17"/>
        <v>0</v>
      </c>
      <c r="AY26" s="5">
        <f t="shared" si="18"/>
        <v>68533.832457423763</v>
      </c>
      <c r="AZ26" s="5">
        <f t="shared" si="19"/>
        <v>68533.832457423763</v>
      </c>
      <c r="BA26" s="5">
        <f t="shared" si="20"/>
        <v>39969.667051492019</v>
      </c>
      <c r="BC26" s="5">
        <f t="shared" si="21"/>
        <v>0</v>
      </c>
      <c r="BD26" s="5">
        <f t="shared" si="22"/>
        <v>207986.05082117656</v>
      </c>
      <c r="BE26" s="5">
        <f t="shared" si="23"/>
        <v>207986.05082117656</v>
      </c>
      <c r="BF26" s="5">
        <f t="shared" si="24"/>
        <v>121299.69833281408</v>
      </c>
      <c r="BH26" s="5">
        <f t="shared" si="25"/>
        <v>0</v>
      </c>
      <c r="BI26" s="5">
        <f t="shared" si="26"/>
        <v>26337.639247014406</v>
      </c>
      <c r="BJ26" s="5">
        <f t="shared" si="27"/>
        <v>26337.639247014406</v>
      </c>
      <c r="BK26" s="5">
        <f t="shared" si="28"/>
        <v>15360.394040118252</v>
      </c>
      <c r="BM26" s="5">
        <f t="shared" si="29"/>
        <v>0</v>
      </c>
      <c r="BN26" s="5">
        <f t="shared" si="30"/>
        <v>288.32103829723223</v>
      </c>
      <c r="BO26" s="5">
        <f t="shared" si="31"/>
        <v>288.32103829723223</v>
      </c>
      <c r="BP26" s="5">
        <f t="shared" si="32"/>
        <v>168.15192571990087</v>
      </c>
      <c r="BR26" s="5">
        <f t="shared" si="33"/>
        <v>0</v>
      </c>
      <c r="BS26" s="5">
        <f t="shared" si="34"/>
        <v>457.77244043371735</v>
      </c>
      <c r="BT26" s="5">
        <f t="shared" si="35"/>
        <v>457.77244043371735</v>
      </c>
      <c r="BU26" s="5">
        <f t="shared" si="36"/>
        <v>266.9778031288642</v>
      </c>
      <c r="BW26" s="5">
        <f t="shared" si="37"/>
        <v>0</v>
      </c>
      <c r="BX26" s="5">
        <f t="shared" si="38"/>
        <v>27158.31069466141</v>
      </c>
      <c r="BY26" s="5">
        <f t="shared" si="39"/>
        <v>27158.31069466141</v>
      </c>
      <c r="BZ26" s="5">
        <f t="shared" si="40"/>
        <v>15839.018441307178</v>
      </c>
      <c r="CB26" s="5">
        <f t="shared" si="41"/>
        <v>0</v>
      </c>
      <c r="CC26" s="5">
        <f t="shared" si="42"/>
        <v>139.39048492446446</v>
      </c>
      <c r="CD26" s="5">
        <f t="shared" si="43"/>
        <v>139.39048492446446</v>
      </c>
      <c r="CE26" s="5">
        <f t="shared" si="44"/>
        <v>81.29402767659397</v>
      </c>
      <c r="CG26" s="5">
        <f t="shared" si="45"/>
        <v>0</v>
      </c>
      <c r="CH26" s="5">
        <f t="shared" si="46"/>
        <v>5984.5144972517573</v>
      </c>
      <c r="CI26" s="5">
        <f t="shared" si="47"/>
        <v>5984.5144972517573</v>
      </c>
      <c r="CJ26" s="5">
        <f t="shared" si="48"/>
        <v>3490.2331205332912</v>
      </c>
      <c r="CL26" s="5">
        <f t="shared" si="49"/>
        <v>0</v>
      </c>
      <c r="CM26" s="5">
        <f t="shared" si="50"/>
        <v>6904.8974604334326</v>
      </c>
      <c r="CN26" s="5">
        <f t="shared" si="51"/>
        <v>6904.8974604334326</v>
      </c>
      <c r="CO26" s="5">
        <f t="shared" si="52"/>
        <v>4027.0103483512617</v>
      </c>
      <c r="CQ26" s="5">
        <f t="shared" si="53"/>
        <v>0</v>
      </c>
      <c r="CR26" s="5">
        <f t="shared" si="54"/>
        <v>70656.59487980351</v>
      </c>
      <c r="CS26" s="5">
        <f t="shared" si="55"/>
        <v>70656.59487980351</v>
      </c>
      <c r="CT26" s="5">
        <f t="shared" si="56"/>
        <v>41207.684891872494</v>
      </c>
      <c r="CV26" s="5">
        <f t="shared" si="57"/>
        <v>0</v>
      </c>
      <c r="CW26" s="5">
        <f t="shared" si="58"/>
        <v>64093.468399858102</v>
      </c>
      <c r="CX26" s="5">
        <f t="shared" si="59"/>
        <v>64093.468399858102</v>
      </c>
      <c r="CY26" s="5">
        <f t="shared" si="60"/>
        <v>37379.99904950818</v>
      </c>
      <c r="DA26" s="5">
        <f t="shared" si="61"/>
        <v>0</v>
      </c>
      <c r="DB26" s="5">
        <f t="shared" si="62"/>
        <v>6385.3685300280522</v>
      </c>
      <c r="DC26" s="5">
        <f t="shared" si="63"/>
        <v>6385.3685300280522</v>
      </c>
      <c r="DD26" s="5">
        <f t="shared" si="64"/>
        <v>3724.0154970882563</v>
      </c>
      <c r="DF26" s="5">
        <f t="shared" si="65"/>
        <v>0</v>
      </c>
      <c r="DG26" s="5">
        <f t="shared" si="66"/>
        <v>221059.80916164164</v>
      </c>
      <c r="DH26" s="5">
        <f t="shared" si="67"/>
        <v>221059.80916164164</v>
      </c>
      <c r="DI26" s="5">
        <f t="shared" si="68"/>
        <v>128924.45459177114</v>
      </c>
      <c r="DK26" s="5">
        <f t="shared" si="69"/>
        <v>0</v>
      </c>
      <c r="DL26" s="5">
        <f t="shared" si="70"/>
        <v>457014.05246235424</v>
      </c>
      <c r="DM26" s="5">
        <f t="shared" si="71"/>
        <v>457014.05246235424</v>
      </c>
      <c r="DN26" s="5">
        <f t="shared" si="72"/>
        <v>266535.50311988586</v>
      </c>
      <c r="DP26" s="5">
        <f t="shared" si="73"/>
        <v>0</v>
      </c>
      <c r="DQ26" s="5">
        <f t="shared" si="74"/>
        <v>89.648876613890593</v>
      </c>
      <c r="DR26" s="5">
        <f t="shared" si="75"/>
        <v>89.648876613890593</v>
      </c>
      <c r="DS26" s="5">
        <f t="shared" si="76"/>
        <v>52.284187551069174</v>
      </c>
      <c r="DU26" s="5">
        <f t="shared" si="77"/>
        <v>0</v>
      </c>
      <c r="DV26" s="5">
        <f t="shared" si="78"/>
        <v>0</v>
      </c>
      <c r="DW26" s="5">
        <f t="shared" si="79"/>
        <v>0</v>
      </c>
      <c r="DX26" s="5">
        <f t="shared" si="80"/>
        <v>0</v>
      </c>
      <c r="ED26" s="5"/>
      <c r="EE26" s="5"/>
      <c r="EF26" s="5"/>
      <c r="EG26" s="5"/>
      <c r="EH26" s="5"/>
      <c r="EI26" s="5"/>
    </row>
    <row r="27" spans="1:139" ht="12" customHeight="1" x14ac:dyDescent="0.2">
      <c r="A27" s="28">
        <v>12145</v>
      </c>
      <c r="C27" s="3">
        <v>0</v>
      </c>
      <c r="D27" s="3">
        <v>1298700</v>
      </c>
      <c r="E27" s="3">
        <v>285756</v>
      </c>
      <c r="F27" s="3">
        <v>6090000</v>
      </c>
      <c r="G27" s="3">
        <v>1288800</v>
      </c>
      <c r="H27" s="3">
        <v>751642</v>
      </c>
      <c r="O27" s="3">
        <f t="shared" si="81"/>
        <v>6090000</v>
      </c>
      <c r="P27" s="3">
        <f t="shared" si="0"/>
        <v>2587500</v>
      </c>
      <c r="Q27" s="3">
        <f t="shared" si="1"/>
        <v>8677500</v>
      </c>
      <c r="R27" s="3">
        <f t="shared" si="2"/>
        <v>1037398</v>
      </c>
      <c r="T27" s="3"/>
      <c r="U27" s="3"/>
      <c r="W27" s="3"/>
      <c r="Y27" s="5">
        <f>AD27+AI27</f>
        <v>0</v>
      </c>
      <c r="Z27" s="5">
        <f t="shared" si="4"/>
        <v>1298700</v>
      </c>
      <c r="AA27" s="5">
        <f t="shared" si="5"/>
        <v>1298700</v>
      </c>
      <c r="AB27" s="5">
        <f t="shared" si="4"/>
        <v>285756</v>
      </c>
      <c r="AD27" s="5">
        <f>C27*$AE$7</f>
        <v>0</v>
      </c>
      <c r="AE27" s="5">
        <f t="shared" si="6"/>
        <v>215340.82362000001</v>
      </c>
      <c r="AF27" s="5">
        <f t="shared" si="7"/>
        <v>215340.82362000001</v>
      </c>
      <c r="AG27" s="5">
        <f t="shared" si="8"/>
        <v>47381.945325599998</v>
      </c>
      <c r="AI27" s="5">
        <f>C27*$AJ$7</f>
        <v>0</v>
      </c>
      <c r="AJ27" s="5">
        <f t="shared" si="9"/>
        <v>1083359.1763800001</v>
      </c>
      <c r="AK27" s="5">
        <f t="shared" si="10"/>
        <v>1083359.1763800001</v>
      </c>
      <c r="AL27" s="5">
        <f t="shared" si="11"/>
        <v>238374.05467440002</v>
      </c>
      <c r="AN27" s="5">
        <f>'20-Yrs Acad Revised'!H26</f>
        <v>594022.26944276178</v>
      </c>
      <c r="AO27" s="5">
        <f>'20-Yrs Acad Revised'!I26</f>
        <v>125710.32854808397</v>
      </c>
      <c r="AP27" s="5">
        <f t="shared" si="12"/>
        <v>719732.5979908458</v>
      </c>
      <c r="AQ27" s="5">
        <f>'20-Yrs Acad Revised'!K26</f>
        <v>73315.613571181675</v>
      </c>
      <c r="AS27" s="3">
        <f t="shared" si="13"/>
        <v>5495977.7305572396</v>
      </c>
      <c r="AT27" s="3">
        <f t="shared" si="14"/>
        <v>1163089.6714519162</v>
      </c>
      <c r="AU27" s="5">
        <f t="shared" si="15"/>
        <v>6659067.4020091556</v>
      </c>
      <c r="AV27" s="3">
        <f t="shared" si="16"/>
        <v>678326.38642881834</v>
      </c>
      <c r="AX27" s="5">
        <f t="shared" si="17"/>
        <v>323844.69247804995</v>
      </c>
      <c r="AY27" s="5">
        <f t="shared" si="18"/>
        <v>68533.832457423763</v>
      </c>
      <c r="AZ27" s="5">
        <f t="shared" si="19"/>
        <v>392378.52493547369</v>
      </c>
      <c r="BA27" s="5">
        <f t="shared" si="20"/>
        <v>39969.667051492019</v>
      </c>
      <c r="BC27" s="5">
        <f t="shared" si="21"/>
        <v>982801.86956933991</v>
      </c>
      <c r="BD27" s="5">
        <f t="shared" si="22"/>
        <v>207986.05082117656</v>
      </c>
      <c r="BE27" s="5">
        <f t="shared" si="23"/>
        <v>1190787.9203905165</v>
      </c>
      <c r="BF27" s="5">
        <f t="shared" si="24"/>
        <v>121299.69833281408</v>
      </c>
      <c r="BH27" s="5">
        <f t="shared" si="25"/>
        <v>124453.92847169285</v>
      </c>
      <c r="BI27" s="5">
        <f t="shared" si="26"/>
        <v>26337.639247014406</v>
      </c>
      <c r="BJ27" s="5">
        <f t="shared" si="27"/>
        <v>150791.56771870726</v>
      </c>
      <c r="BK27" s="5">
        <f t="shared" si="28"/>
        <v>15360.394040118252</v>
      </c>
      <c r="BM27" s="5">
        <f t="shared" si="29"/>
        <v>1362.4108653244448</v>
      </c>
      <c r="BN27" s="5">
        <f t="shared" si="30"/>
        <v>288.32103829723223</v>
      </c>
      <c r="BO27" s="5">
        <f t="shared" si="31"/>
        <v>1650.731903621677</v>
      </c>
      <c r="BP27" s="5">
        <f t="shared" si="32"/>
        <v>168.15192571990087</v>
      </c>
      <c r="BR27" s="5">
        <f t="shared" si="33"/>
        <v>2163.1239620122119</v>
      </c>
      <c r="BS27" s="5">
        <f t="shared" si="34"/>
        <v>457.77244043371735</v>
      </c>
      <c r="BT27" s="5">
        <f t="shared" si="35"/>
        <v>2620.8964024459292</v>
      </c>
      <c r="BU27" s="5">
        <f t="shared" si="36"/>
        <v>266.9778031288642</v>
      </c>
      <c r="BW27" s="5">
        <f t="shared" si="37"/>
        <v>128331.86850596522</v>
      </c>
      <c r="BX27" s="5">
        <f t="shared" si="38"/>
        <v>27158.31069466141</v>
      </c>
      <c r="BY27" s="5">
        <f t="shared" si="39"/>
        <v>155490.17920062662</v>
      </c>
      <c r="BZ27" s="5">
        <f t="shared" si="40"/>
        <v>15839.018441307178</v>
      </c>
      <c r="CB27" s="5">
        <f t="shared" si="41"/>
        <v>658.66546647267887</v>
      </c>
      <c r="CC27" s="5">
        <f t="shared" si="42"/>
        <v>139.39048492446446</v>
      </c>
      <c r="CD27" s="5">
        <f t="shared" si="43"/>
        <v>798.0559513971433</v>
      </c>
      <c r="CE27" s="5">
        <f t="shared" si="44"/>
        <v>81.29402767659397</v>
      </c>
      <c r="CG27" s="5">
        <f t="shared" si="45"/>
        <v>28278.781260291125</v>
      </c>
      <c r="CH27" s="5">
        <f t="shared" si="46"/>
        <v>5984.5144972517573</v>
      </c>
      <c r="CI27" s="5">
        <f t="shared" si="47"/>
        <v>34263.295757542881</v>
      </c>
      <c r="CJ27" s="5">
        <f t="shared" si="48"/>
        <v>3490.2331205332912</v>
      </c>
      <c r="CL27" s="5">
        <f t="shared" si="49"/>
        <v>32627.89069990658</v>
      </c>
      <c r="CM27" s="5">
        <f t="shared" si="50"/>
        <v>6904.8974604334326</v>
      </c>
      <c r="CN27" s="5">
        <f t="shared" si="51"/>
        <v>39532.788160340016</v>
      </c>
      <c r="CO27" s="5">
        <f t="shared" si="52"/>
        <v>4027.0103483512617</v>
      </c>
      <c r="CQ27" s="5">
        <f t="shared" si="53"/>
        <v>333875.43669925776</v>
      </c>
      <c r="CR27" s="5">
        <f t="shared" si="54"/>
        <v>70656.59487980351</v>
      </c>
      <c r="CS27" s="5">
        <f t="shared" si="55"/>
        <v>404532.03157906129</v>
      </c>
      <c r="CT27" s="5">
        <f t="shared" si="56"/>
        <v>41207.684891872494</v>
      </c>
      <c r="CV27" s="5">
        <f t="shared" si="57"/>
        <v>302862.5252600371</v>
      </c>
      <c r="CW27" s="5">
        <f t="shared" si="58"/>
        <v>64093.468399858102</v>
      </c>
      <c r="CX27" s="5">
        <f t="shared" si="59"/>
        <v>366955.9936598952</v>
      </c>
      <c r="CY27" s="5">
        <f t="shared" si="60"/>
        <v>37379.99904950818</v>
      </c>
      <c r="DA27" s="5">
        <f t="shared" si="61"/>
        <v>30172.947197292702</v>
      </c>
      <c r="DB27" s="5">
        <f t="shared" si="62"/>
        <v>6385.3685300280522</v>
      </c>
      <c r="DC27" s="5">
        <f t="shared" si="63"/>
        <v>36558.315727320754</v>
      </c>
      <c r="DD27" s="5">
        <f t="shared" si="64"/>
        <v>3724.0154970882563</v>
      </c>
      <c r="DF27" s="5">
        <f t="shared" si="65"/>
        <v>1044579.6382638094</v>
      </c>
      <c r="DG27" s="5">
        <f t="shared" si="66"/>
        <v>221059.80916164164</v>
      </c>
      <c r="DH27" s="5">
        <f t="shared" si="67"/>
        <v>1265639.4474254511</v>
      </c>
      <c r="DI27" s="5">
        <f t="shared" si="68"/>
        <v>128924.45459177114</v>
      </c>
      <c r="DK27" s="5">
        <f t="shared" si="69"/>
        <v>2159540.331700603</v>
      </c>
      <c r="DL27" s="5">
        <f t="shared" si="70"/>
        <v>457014.05246235424</v>
      </c>
      <c r="DM27" s="5">
        <f t="shared" si="71"/>
        <v>2616554.3841629573</v>
      </c>
      <c r="DN27" s="5">
        <f t="shared" si="72"/>
        <v>266535.50311988586</v>
      </c>
      <c r="DP27" s="5">
        <f t="shared" si="73"/>
        <v>423.6201571838871</v>
      </c>
      <c r="DQ27" s="5">
        <f t="shared" si="74"/>
        <v>89.648876613890593</v>
      </c>
      <c r="DR27" s="5">
        <f t="shared" si="75"/>
        <v>513.26903379777764</v>
      </c>
      <c r="DS27" s="5">
        <f t="shared" si="76"/>
        <v>52.284187551069174</v>
      </c>
      <c r="DU27" s="5">
        <f t="shared" si="77"/>
        <v>0</v>
      </c>
      <c r="DV27" s="5">
        <f t="shared" si="78"/>
        <v>0</v>
      </c>
      <c r="DW27" s="5">
        <f t="shared" si="79"/>
        <v>0</v>
      </c>
      <c r="DX27" s="5">
        <f t="shared" si="80"/>
        <v>0</v>
      </c>
      <c r="ED27" s="5"/>
      <c r="EE27" s="5"/>
      <c r="EF27" s="5"/>
      <c r="EG27" s="5"/>
      <c r="EH27" s="5"/>
      <c r="EI27" s="5"/>
    </row>
    <row r="28" spans="1:139" ht="12" customHeight="1" x14ac:dyDescent="0.2">
      <c r="A28" s="28">
        <v>12328</v>
      </c>
      <c r="D28" s="3">
        <v>1298700</v>
      </c>
      <c r="E28" s="3">
        <v>285756</v>
      </c>
      <c r="G28" s="3">
        <v>1167000</v>
      </c>
      <c r="H28" s="3">
        <v>751642</v>
      </c>
      <c r="P28" s="3">
        <f t="shared" si="0"/>
        <v>2465700</v>
      </c>
      <c r="Q28" s="3">
        <f t="shared" si="1"/>
        <v>2465700</v>
      </c>
      <c r="R28" s="3">
        <f t="shared" si="2"/>
        <v>1037398</v>
      </c>
      <c r="T28" s="3"/>
      <c r="U28" s="3"/>
      <c r="W28" s="3"/>
      <c r="Z28" s="5">
        <f t="shared" si="4"/>
        <v>1298700</v>
      </c>
      <c r="AA28" s="5">
        <f t="shared" si="5"/>
        <v>1298700</v>
      </c>
      <c r="AB28" s="5">
        <f t="shared" si="4"/>
        <v>285756</v>
      </c>
      <c r="AD28" s="5"/>
      <c r="AE28" s="5">
        <f t="shared" si="6"/>
        <v>215340.82362000001</v>
      </c>
      <c r="AF28" s="5">
        <f t="shared" si="7"/>
        <v>215340.82362000001</v>
      </c>
      <c r="AG28" s="5">
        <f t="shared" si="8"/>
        <v>47381.945325599998</v>
      </c>
      <c r="AJ28" s="5">
        <f t="shared" si="9"/>
        <v>1083359.1763800001</v>
      </c>
      <c r="AK28" s="5">
        <f t="shared" si="10"/>
        <v>1083359.1763800001</v>
      </c>
      <c r="AL28" s="5">
        <f t="shared" si="11"/>
        <v>238374.05467440002</v>
      </c>
      <c r="AN28" s="5">
        <f>'20-Yrs Acad Revised'!H27</f>
        <v>0</v>
      </c>
      <c r="AO28" s="5">
        <f>'20-Yrs Acad Revised'!I27</f>
        <v>113829.88315922873</v>
      </c>
      <c r="AP28" s="5">
        <f t="shared" si="12"/>
        <v>113829.88315922873</v>
      </c>
      <c r="AQ28" s="5">
        <f>'20-Yrs Acad Revised'!K27</f>
        <v>73315.613571181675</v>
      </c>
      <c r="AS28" s="3">
        <f t="shared" si="13"/>
        <v>0</v>
      </c>
      <c r="AT28" s="3">
        <f t="shared" si="14"/>
        <v>1053170.1168407714</v>
      </c>
      <c r="AU28" s="5">
        <f t="shared" si="15"/>
        <v>1053170.1168407714</v>
      </c>
      <c r="AV28" s="3">
        <f t="shared" si="16"/>
        <v>678326.38642881834</v>
      </c>
      <c r="AX28" s="5">
        <f t="shared" si="17"/>
        <v>0</v>
      </c>
      <c r="AY28" s="5">
        <f t="shared" si="18"/>
        <v>62056.938607862772</v>
      </c>
      <c r="AZ28" s="5">
        <f t="shared" si="19"/>
        <v>62056.938607862772</v>
      </c>
      <c r="BA28" s="5">
        <f t="shared" si="20"/>
        <v>39969.667051492019</v>
      </c>
      <c r="BC28" s="5">
        <f t="shared" si="21"/>
        <v>0</v>
      </c>
      <c r="BD28" s="5">
        <f t="shared" si="22"/>
        <v>188330.01342978975</v>
      </c>
      <c r="BE28" s="5">
        <f t="shared" si="23"/>
        <v>188330.01342978975</v>
      </c>
      <c r="BF28" s="5">
        <f t="shared" si="24"/>
        <v>121299.69833281408</v>
      </c>
      <c r="BH28" s="5">
        <f t="shared" si="25"/>
        <v>0</v>
      </c>
      <c r="BI28" s="5">
        <f t="shared" si="26"/>
        <v>23848.56067758055</v>
      </c>
      <c r="BJ28" s="5">
        <f t="shared" si="27"/>
        <v>23848.56067758055</v>
      </c>
      <c r="BK28" s="5">
        <f t="shared" si="28"/>
        <v>15360.394040118252</v>
      </c>
      <c r="BM28" s="5">
        <f t="shared" si="29"/>
        <v>0</v>
      </c>
      <c r="BN28" s="5">
        <f t="shared" si="30"/>
        <v>261.07282099074337</v>
      </c>
      <c r="BO28" s="5">
        <f t="shared" si="31"/>
        <v>261.07282099074337</v>
      </c>
      <c r="BP28" s="5">
        <f t="shared" si="32"/>
        <v>168.15192571990087</v>
      </c>
      <c r="BR28" s="5">
        <f t="shared" si="33"/>
        <v>0</v>
      </c>
      <c r="BS28" s="5">
        <f t="shared" si="34"/>
        <v>414.50996119347309</v>
      </c>
      <c r="BT28" s="5">
        <f t="shared" si="35"/>
        <v>414.50996119347309</v>
      </c>
      <c r="BU28" s="5">
        <f t="shared" si="36"/>
        <v>266.9778031288642</v>
      </c>
      <c r="BW28" s="5">
        <f t="shared" si="37"/>
        <v>0</v>
      </c>
      <c r="BX28" s="5">
        <f t="shared" si="38"/>
        <v>24591.673324542106</v>
      </c>
      <c r="BY28" s="5">
        <f t="shared" si="39"/>
        <v>24591.673324542106</v>
      </c>
      <c r="BZ28" s="5">
        <f t="shared" si="40"/>
        <v>15839.018441307178</v>
      </c>
      <c r="CB28" s="5">
        <f t="shared" si="41"/>
        <v>0</v>
      </c>
      <c r="CC28" s="5">
        <f t="shared" si="42"/>
        <v>126.21717559501087</v>
      </c>
      <c r="CD28" s="5">
        <f t="shared" si="43"/>
        <v>126.21717559501087</v>
      </c>
      <c r="CE28" s="5">
        <f t="shared" si="44"/>
        <v>81.29402767659397</v>
      </c>
      <c r="CG28" s="5">
        <f t="shared" si="45"/>
        <v>0</v>
      </c>
      <c r="CH28" s="5">
        <f t="shared" si="46"/>
        <v>5418.9388720459347</v>
      </c>
      <c r="CI28" s="5">
        <f t="shared" si="47"/>
        <v>5418.9388720459347</v>
      </c>
      <c r="CJ28" s="5">
        <f t="shared" si="48"/>
        <v>3490.2331205332912</v>
      </c>
      <c r="CL28" s="5">
        <f t="shared" si="49"/>
        <v>0</v>
      </c>
      <c r="CM28" s="5">
        <f t="shared" si="50"/>
        <v>6252.3396464353009</v>
      </c>
      <c r="CN28" s="5">
        <f t="shared" si="51"/>
        <v>6252.3396464353009</v>
      </c>
      <c r="CO28" s="5">
        <f t="shared" si="52"/>
        <v>4027.0103483512617</v>
      </c>
      <c r="CQ28" s="5">
        <f t="shared" si="53"/>
        <v>0</v>
      </c>
      <c r="CR28" s="5">
        <f t="shared" si="54"/>
        <v>63979.086145818357</v>
      </c>
      <c r="CS28" s="5">
        <f t="shared" si="55"/>
        <v>63979.086145818357</v>
      </c>
      <c r="CT28" s="5">
        <f t="shared" si="56"/>
        <v>41207.684891872494</v>
      </c>
      <c r="CV28" s="5">
        <f t="shared" si="57"/>
        <v>0</v>
      </c>
      <c r="CW28" s="5">
        <f t="shared" si="58"/>
        <v>58036.217894657362</v>
      </c>
      <c r="CX28" s="5">
        <f t="shared" si="59"/>
        <v>58036.217894657362</v>
      </c>
      <c r="CY28" s="5">
        <f t="shared" si="60"/>
        <v>37379.99904950818</v>
      </c>
      <c r="DA28" s="5">
        <f t="shared" si="61"/>
        <v>0</v>
      </c>
      <c r="DB28" s="5">
        <f t="shared" si="62"/>
        <v>5781.9095860821981</v>
      </c>
      <c r="DC28" s="5">
        <f t="shared" si="63"/>
        <v>5781.9095860821981</v>
      </c>
      <c r="DD28" s="5">
        <f t="shared" si="64"/>
        <v>3724.0154970882563</v>
      </c>
      <c r="DF28" s="5">
        <f t="shared" si="65"/>
        <v>0</v>
      </c>
      <c r="DG28" s="5">
        <f t="shared" si="66"/>
        <v>200168.21639636543</v>
      </c>
      <c r="DH28" s="5">
        <f t="shared" si="67"/>
        <v>200168.21639636543</v>
      </c>
      <c r="DI28" s="5">
        <f t="shared" si="68"/>
        <v>128924.45459177114</v>
      </c>
      <c r="DK28" s="5">
        <f t="shared" si="69"/>
        <v>0</v>
      </c>
      <c r="DL28" s="5">
        <f t="shared" si="70"/>
        <v>413823.24582834222</v>
      </c>
      <c r="DM28" s="5">
        <f t="shared" si="71"/>
        <v>413823.24582834222</v>
      </c>
      <c r="DN28" s="5">
        <f t="shared" si="72"/>
        <v>266535.50311988586</v>
      </c>
      <c r="DP28" s="5">
        <f t="shared" si="73"/>
        <v>0</v>
      </c>
      <c r="DQ28" s="5">
        <f t="shared" si="74"/>
        <v>81.176473470212855</v>
      </c>
      <c r="DR28" s="5">
        <f t="shared" si="75"/>
        <v>81.176473470212855</v>
      </c>
      <c r="DS28" s="5">
        <f t="shared" si="76"/>
        <v>52.284187551069174</v>
      </c>
      <c r="DU28" s="5">
        <f t="shared" si="77"/>
        <v>0</v>
      </c>
      <c r="DV28" s="5">
        <f t="shared" si="78"/>
        <v>0</v>
      </c>
      <c r="DW28" s="5">
        <f t="shared" si="79"/>
        <v>0</v>
      </c>
      <c r="DX28" s="5">
        <f t="shared" si="80"/>
        <v>0</v>
      </c>
      <c r="ED28" s="5"/>
      <c r="EE28" s="5"/>
      <c r="EF28" s="5"/>
      <c r="EG28" s="5"/>
      <c r="EH28" s="5"/>
      <c r="EI28" s="5"/>
    </row>
    <row r="29" spans="1:139" ht="12" customHeight="1" x14ac:dyDescent="0.2">
      <c r="A29" s="28">
        <v>12510</v>
      </c>
      <c r="C29" s="3">
        <v>0</v>
      </c>
      <c r="D29" s="3">
        <v>1298700</v>
      </c>
      <c r="E29" s="3">
        <v>285756</v>
      </c>
      <c r="F29" s="3">
        <v>6330000</v>
      </c>
      <c r="G29" s="3">
        <v>1167000</v>
      </c>
      <c r="H29" s="3">
        <v>751642</v>
      </c>
      <c r="O29" s="3">
        <f t="shared" si="81"/>
        <v>6330000</v>
      </c>
      <c r="P29" s="3">
        <f t="shared" si="0"/>
        <v>2465700</v>
      </c>
      <c r="Q29" s="3">
        <f t="shared" si="1"/>
        <v>8795700</v>
      </c>
      <c r="R29" s="3">
        <f t="shared" si="2"/>
        <v>1037398</v>
      </c>
      <c r="T29" s="3"/>
      <c r="U29" s="3"/>
      <c r="W29" s="3"/>
      <c r="Y29" s="5">
        <f>AD29+AI29</f>
        <v>0</v>
      </c>
      <c r="Z29" s="5">
        <f t="shared" si="4"/>
        <v>1298700</v>
      </c>
      <c r="AA29" s="5">
        <f t="shared" si="5"/>
        <v>1298700</v>
      </c>
      <c r="AB29" s="5">
        <f t="shared" si="4"/>
        <v>285756</v>
      </c>
      <c r="AD29" s="5">
        <f>C29*$AE$7</f>
        <v>0</v>
      </c>
      <c r="AE29" s="5">
        <f t="shared" si="6"/>
        <v>215340.82362000001</v>
      </c>
      <c r="AF29" s="5">
        <f t="shared" si="7"/>
        <v>215340.82362000001</v>
      </c>
      <c r="AG29" s="5">
        <f t="shared" si="8"/>
        <v>47381.945325599998</v>
      </c>
      <c r="AI29" s="5">
        <f>C29*$AJ$7</f>
        <v>0</v>
      </c>
      <c r="AJ29" s="5">
        <f t="shared" si="9"/>
        <v>1083359.1763800001</v>
      </c>
      <c r="AK29" s="5">
        <f t="shared" si="10"/>
        <v>1083359.1763800001</v>
      </c>
      <c r="AL29" s="5">
        <f t="shared" si="11"/>
        <v>238374.05467440002</v>
      </c>
      <c r="AN29" s="5">
        <f>'20-Yrs Acad Revised'!H28</f>
        <v>617432.01405134355</v>
      </c>
      <c r="AO29" s="5">
        <f>'20-Yrs Acad Revised'!I28</f>
        <v>113829.88315922873</v>
      </c>
      <c r="AP29" s="5">
        <f t="shared" si="12"/>
        <v>731261.89721057226</v>
      </c>
      <c r="AQ29" s="5">
        <f>'20-Yrs Acad Revised'!K28</f>
        <v>73315.613571181675</v>
      </c>
      <c r="AS29" s="3">
        <f t="shared" si="13"/>
        <v>5712567.9859486585</v>
      </c>
      <c r="AT29" s="3">
        <f t="shared" si="14"/>
        <v>1053170.1168407714</v>
      </c>
      <c r="AU29" s="5">
        <f t="shared" si="15"/>
        <v>6765738.1027894299</v>
      </c>
      <c r="AV29" s="3">
        <f t="shared" si="16"/>
        <v>678326.38642881834</v>
      </c>
      <c r="AX29" s="5">
        <f t="shared" si="17"/>
        <v>336607.04489097802</v>
      </c>
      <c r="AY29" s="5">
        <f t="shared" si="18"/>
        <v>62056.938607862772</v>
      </c>
      <c r="AZ29" s="5">
        <f t="shared" si="19"/>
        <v>398663.98349884083</v>
      </c>
      <c r="BA29" s="5">
        <f t="shared" si="20"/>
        <v>39969.667051492019</v>
      </c>
      <c r="BC29" s="5">
        <f t="shared" si="21"/>
        <v>1021532.977729708</v>
      </c>
      <c r="BD29" s="5">
        <f t="shared" si="22"/>
        <v>188330.01342978975</v>
      </c>
      <c r="BE29" s="5">
        <f t="shared" si="23"/>
        <v>1209862.9911594978</v>
      </c>
      <c r="BF29" s="5">
        <f t="shared" si="24"/>
        <v>121299.69833281408</v>
      </c>
      <c r="BH29" s="5">
        <f t="shared" si="25"/>
        <v>129358.51678584823</v>
      </c>
      <c r="BI29" s="5">
        <f t="shared" si="26"/>
        <v>23848.56067758055</v>
      </c>
      <c r="BJ29" s="5">
        <f t="shared" si="27"/>
        <v>153207.07746342878</v>
      </c>
      <c r="BK29" s="5">
        <f t="shared" si="28"/>
        <v>15360.394040118252</v>
      </c>
      <c r="BM29" s="5">
        <f t="shared" si="29"/>
        <v>1416.1019339086592</v>
      </c>
      <c r="BN29" s="5">
        <f t="shared" si="30"/>
        <v>261.07282099074337</v>
      </c>
      <c r="BO29" s="5">
        <f t="shared" si="31"/>
        <v>1677.1747548994026</v>
      </c>
      <c r="BP29" s="5">
        <f t="shared" si="32"/>
        <v>168.15192571990087</v>
      </c>
      <c r="BR29" s="5">
        <f t="shared" si="33"/>
        <v>2248.3702265250085</v>
      </c>
      <c r="BS29" s="5">
        <f t="shared" si="34"/>
        <v>414.50996119347309</v>
      </c>
      <c r="BT29" s="5">
        <f t="shared" si="35"/>
        <v>2662.8801877184815</v>
      </c>
      <c r="BU29" s="5">
        <f t="shared" si="36"/>
        <v>266.9778031288642</v>
      </c>
      <c r="BW29" s="5">
        <f t="shared" si="37"/>
        <v>133389.28204314612</v>
      </c>
      <c r="BX29" s="5">
        <f t="shared" si="38"/>
        <v>24591.673324542106</v>
      </c>
      <c r="BY29" s="5">
        <f t="shared" si="39"/>
        <v>157980.95536768821</v>
      </c>
      <c r="BZ29" s="5">
        <f t="shared" si="40"/>
        <v>15839.018441307178</v>
      </c>
      <c r="CB29" s="5">
        <f t="shared" si="41"/>
        <v>684.62272623514889</v>
      </c>
      <c r="CC29" s="5">
        <f t="shared" si="42"/>
        <v>126.21717559501087</v>
      </c>
      <c r="CD29" s="5">
        <f t="shared" si="43"/>
        <v>810.83990183015976</v>
      </c>
      <c r="CE29" s="5">
        <f t="shared" si="44"/>
        <v>81.29402767659397</v>
      </c>
      <c r="CG29" s="5">
        <f t="shared" si="45"/>
        <v>29393.215989760727</v>
      </c>
      <c r="CH29" s="5">
        <f t="shared" si="46"/>
        <v>5418.9388720459347</v>
      </c>
      <c r="CI29" s="5">
        <f t="shared" si="47"/>
        <v>34812.154861806659</v>
      </c>
      <c r="CJ29" s="5">
        <f t="shared" si="48"/>
        <v>3490.2331205332912</v>
      </c>
      <c r="CL29" s="5">
        <f t="shared" si="49"/>
        <v>33913.718904829009</v>
      </c>
      <c r="CM29" s="5">
        <f t="shared" si="50"/>
        <v>6252.3396464353009</v>
      </c>
      <c r="CN29" s="5">
        <f t="shared" si="51"/>
        <v>40166.058551264308</v>
      </c>
      <c r="CO29" s="5">
        <f t="shared" si="52"/>
        <v>4027.0103483512617</v>
      </c>
      <c r="CQ29" s="5">
        <f t="shared" si="53"/>
        <v>347033.089377061</v>
      </c>
      <c r="CR29" s="5">
        <f t="shared" si="54"/>
        <v>63979.086145818357</v>
      </c>
      <c r="CS29" s="5">
        <f t="shared" si="55"/>
        <v>411012.17552287935</v>
      </c>
      <c r="CT29" s="5">
        <f t="shared" si="56"/>
        <v>41207.684891872494</v>
      </c>
      <c r="CV29" s="5">
        <f t="shared" si="57"/>
        <v>314797.99423580215</v>
      </c>
      <c r="CW29" s="5">
        <f t="shared" si="58"/>
        <v>58036.217894657362</v>
      </c>
      <c r="CX29" s="5">
        <f t="shared" si="59"/>
        <v>372834.21213045949</v>
      </c>
      <c r="CY29" s="5">
        <f t="shared" si="60"/>
        <v>37379.99904950818</v>
      </c>
      <c r="DA29" s="5">
        <f t="shared" si="61"/>
        <v>31362.0288602402</v>
      </c>
      <c r="DB29" s="5">
        <f t="shared" si="62"/>
        <v>5781.9095860821981</v>
      </c>
      <c r="DC29" s="5">
        <f t="shared" si="63"/>
        <v>37143.938446322398</v>
      </c>
      <c r="DD29" s="5">
        <f t="shared" si="64"/>
        <v>3724.0154970882563</v>
      </c>
      <c r="DF29" s="5">
        <f t="shared" si="65"/>
        <v>1085745.3382939103</v>
      </c>
      <c r="DG29" s="5">
        <f t="shared" si="66"/>
        <v>200168.21639636543</v>
      </c>
      <c r="DH29" s="5">
        <f t="shared" si="67"/>
        <v>1285913.5546902758</v>
      </c>
      <c r="DI29" s="5">
        <f t="shared" si="68"/>
        <v>128924.45459177114</v>
      </c>
      <c r="DK29" s="5">
        <f t="shared" si="69"/>
        <v>2244645.3694030899</v>
      </c>
      <c r="DL29" s="5">
        <f t="shared" si="70"/>
        <v>413823.24582834222</v>
      </c>
      <c r="DM29" s="5">
        <f t="shared" si="71"/>
        <v>2658468.615231432</v>
      </c>
      <c r="DN29" s="5">
        <f t="shared" si="72"/>
        <v>266535.50311988586</v>
      </c>
      <c r="DP29" s="5">
        <f t="shared" si="73"/>
        <v>440.3145476147792</v>
      </c>
      <c r="DQ29" s="5">
        <f t="shared" si="74"/>
        <v>81.176473470212855</v>
      </c>
      <c r="DR29" s="5">
        <f t="shared" si="75"/>
        <v>521.4910210849921</v>
      </c>
      <c r="DS29" s="5">
        <f t="shared" si="76"/>
        <v>52.284187551069174</v>
      </c>
      <c r="DU29" s="5">
        <f t="shared" si="77"/>
        <v>0</v>
      </c>
      <c r="DV29" s="5">
        <f t="shared" si="78"/>
        <v>0</v>
      </c>
      <c r="DW29" s="5">
        <f t="shared" si="79"/>
        <v>0</v>
      </c>
      <c r="DX29" s="5">
        <f t="shared" si="80"/>
        <v>0</v>
      </c>
      <c r="ED29" s="5"/>
      <c r="EE29" s="5"/>
      <c r="EF29" s="5"/>
      <c r="EG29" s="5"/>
      <c r="EH29" s="5"/>
      <c r="EI29" s="5"/>
    </row>
    <row r="30" spans="1:139" ht="12" customHeight="1" x14ac:dyDescent="0.2">
      <c r="A30" s="28">
        <v>12693</v>
      </c>
      <c r="D30" s="3">
        <v>1298700</v>
      </c>
      <c r="E30" s="3">
        <v>285756</v>
      </c>
      <c r="G30" s="3">
        <v>1040400</v>
      </c>
      <c r="H30" s="3">
        <v>751642</v>
      </c>
      <c r="P30" s="3">
        <f t="shared" si="0"/>
        <v>2339100</v>
      </c>
      <c r="Q30" s="3">
        <f t="shared" si="1"/>
        <v>2339100</v>
      </c>
      <c r="R30" s="3">
        <f t="shared" si="2"/>
        <v>1037398</v>
      </c>
      <c r="T30" s="3"/>
      <c r="U30" s="3"/>
      <c r="W30" s="3"/>
      <c r="Z30" s="5">
        <f t="shared" si="4"/>
        <v>1298700</v>
      </c>
      <c r="AA30" s="5">
        <f t="shared" si="5"/>
        <v>1298700</v>
      </c>
      <c r="AB30" s="5">
        <f t="shared" si="4"/>
        <v>285756</v>
      </c>
      <c r="AD30" s="5"/>
      <c r="AE30" s="5">
        <f t="shared" si="6"/>
        <v>215340.82362000001</v>
      </c>
      <c r="AF30" s="5">
        <f t="shared" si="7"/>
        <v>215340.82362000001</v>
      </c>
      <c r="AG30" s="5">
        <f t="shared" si="8"/>
        <v>47381.945325599998</v>
      </c>
      <c r="AJ30" s="5">
        <f t="shared" si="9"/>
        <v>1083359.1763800001</v>
      </c>
      <c r="AK30" s="5">
        <f t="shared" si="10"/>
        <v>1083359.1763800001</v>
      </c>
      <c r="AL30" s="5">
        <f t="shared" si="11"/>
        <v>238374.05467440002</v>
      </c>
      <c r="AN30" s="5">
        <f>'20-Yrs Acad Revised'!H29</f>
        <v>0</v>
      </c>
      <c r="AO30" s="5">
        <f>'20-Yrs Acad Revised'!I29</f>
        <v>101481.24287820187</v>
      </c>
      <c r="AP30" s="5">
        <f t="shared" si="12"/>
        <v>101481.24287820187</v>
      </c>
      <c r="AQ30" s="5">
        <f>'20-Yrs Acad Revised'!K29</f>
        <v>73315.613571181675</v>
      </c>
      <c r="AS30" s="3">
        <f t="shared" si="13"/>
        <v>0</v>
      </c>
      <c r="AT30" s="3">
        <f t="shared" si="14"/>
        <v>938918.75712179835</v>
      </c>
      <c r="AU30" s="5">
        <f t="shared" si="15"/>
        <v>938918.75712179835</v>
      </c>
      <c r="AV30" s="3">
        <f t="shared" si="16"/>
        <v>678326.38642881834</v>
      </c>
      <c r="AX30" s="5">
        <f t="shared" si="17"/>
        <v>0</v>
      </c>
      <c r="AY30" s="5">
        <f t="shared" si="18"/>
        <v>55324.797710043211</v>
      </c>
      <c r="AZ30" s="5">
        <f t="shared" si="19"/>
        <v>55324.797710043211</v>
      </c>
      <c r="BA30" s="5">
        <f t="shared" si="20"/>
        <v>39969.667051492019</v>
      </c>
      <c r="BC30" s="5">
        <f t="shared" si="21"/>
        <v>0</v>
      </c>
      <c r="BD30" s="5">
        <f t="shared" si="22"/>
        <v>167899.35387519561</v>
      </c>
      <c r="BE30" s="5">
        <f t="shared" si="23"/>
        <v>167899.35387519561</v>
      </c>
      <c r="BF30" s="5">
        <f t="shared" si="24"/>
        <v>121299.69833281408</v>
      </c>
      <c r="BH30" s="5">
        <f t="shared" si="25"/>
        <v>0</v>
      </c>
      <c r="BI30" s="5">
        <f t="shared" si="26"/>
        <v>21261.390341863585</v>
      </c>
      <c r="BJ30" s="5">
        <f t="shared" si="27"/>
        <v>21261.390341863585</v>
      </c>
      <c r="BK30" s="5">
        <f t="shared" si="28"/>
        <v>15360.394040118252</v>
      </c>
      <c r="BM30" s="5">
        <f t="shared" si="29"/>
        <v>0</v>
      </c>
      <c r="BN30" s="5">
        <f t="shared" si="30"/>
        <v>232.75078231257015</v>
      </c>
      <c r="BO30" s="5">
        <f t="shared" si="31"/>
        <v>232.75078231257015</v>
      </c>
      <c r="BP30" s="5">
        <f t="shared" si="32"/>
        <v>168.15192571990087</v>
      </c>
      <c r="BR30" s="5">
        <f t="shared" si="33"/>
        <v>0</v>
      </c>
      <c r="BS30" s="5">
        <f t="shared" si="34"/>
        <v>369.54255666297291</v>
      </c>
      <c r="BT30" s="5">
        <f t="shared" si="35"/>
        <v>369.54255666297291</v>
      </c>
      <c r="BU30" s="5">
        <f t="shared" si="36"/>
        <v>266.9778031288642</v>
      </c>
      <c r="BW30" s="5">
        <f t="shared" si="37"/>
        <v>0</v>
      </c>
      <c r="BX30" s="5">
        <f t="shared" si="38"/>
        <v>21923.887683679182</v>
      </c>
      <c r="BY30" s="5">
        <f t="shared" si="39"/>
        <v>21923.887683679182</v>
      </c>
      <c r="BZ30" s="5">
        <f t="shared" si="40"/>
        <v>15839.018441307178</v>
      </c>
      <c r="CB30" s="5">
        <f t="shared" si="41"/>
        <v>0</v>
      </c>
      <c r="CC30" s="5">
        <f t="shared" si="42"/>
        <v>112.52472107030789</v>
      </c>
      <c r="CD30" s="5">
        <f t="shared" si="43"/>
        <v>112.52472107030789</v>
      </c>
      <c r="CE30" s="5">
        <f t="shared" si="44"/>
        <v>81.29402767659397</v>
      </c>
      <c r="CG30" s="5">
        <f t="shared" si="45"/>
        <v>0</v>
      </c>
      <c r="CH30" s="5">
        <f t="shared" si="46"/>
        <v>4831.0745522507204</v>
      </c>
      <c r="CI30" s="5">
        <f t="shared" si="47"/>
        <v>4831.0745522507204</v>
      </c>
      <c r="CJ30" s="5">
        <f t="shared" si="48"/>
        <v>3490.2331205332912</v>
      </c>
      <c r="CL30" s="5">
        <f t="shared" si="49"/>
        <v>0</v>
      </c>
      <c r="CM30" s="5">
        <f t="shared" si="50"/>
        <v>5574.0652683387207</v>
      </c>
      <c r="CN30" s="5">
        <f t="shared" si="51"/>
        <v>5574.0652683387207</v>
      </c>
      <c r="CO30" s="5">
        <f t="shared" si="52"/>
        <v>4027.0103483512617</v>
      </c>
      <c r="CQ30" s="5">
        <f t="shared" si="53"/>
        <v>0</v>
      </c>
      <c r="CR30" s="5">
        <f t="shared" si="54"/>
        <v>57038.424358277138</v>
      </c>
      <c r="CS30" s="5">
        <f t="shared" si="55"/>
        <v>57038.424358277138</v>
      </c>
      <c r="CT30" s="5">
        <f t="shared" si="56"/>
        <v>41207.684891872494</v>
      </c>
      <c r="CV30" s="5">
        <f t="shared" si="57"/>
        <v>0</v>
      </c>
      <c r="CW30" s="5">
        <f t="shared" si="58"/>
        <v>51740.258009941317</v>
      </c>
      <c r="CX30" s="5">
        <f t="shared" si="59"/>
        <v>51740.258009941317</v>
      </c>
      <c r="CY30" s="5">
        <f t="shared" si="60"/>
        <v>37379.99904950818</v>
      </c>
      <c r="DA30" s="5">
        <f t="shared" si="61"/>
        <v>0</v>
      </c>
      <c r="DB30" s="5">
        <f t="shared" si="62"/>
        <v>5154.6690088773939</v>
      </c>
      <c r="DC30" s="5">
        <f t="shared" si="63"/>
        <v>5154.6690088773939</v>
      </c>
      <c r="DD30" s="5">
        <f t="shared" si="64"/>
        <v>3724.0154970882563</v>
      </c>
      <c r="DF30" s="5">
        <f t="shared" si="65"/>
        <v>0</v>
      </c>
      <c r="DG30" s="5">
        <f t="shared" si="66"/>
        <v>178453.30963048723</v>
      </c>
      <c r="DH30" s="5">
        <f t="shared" si="67"/>
        <v>178453.30963048723</v>
      </c>
      <c r="DI30" s="5">
        <f t="shared" si="68"/>
        <v>128924.45459177114</v>
      </c>
      <c r="DK30" s="5">
        <f t="shared" si="69"/>
        <v>0</v>
      </c>
      <c r="DL30" s="5">
        <f t="shared" si="70"/>
        <v>368930.33844028041</v>
      </c>
      <c r="DM30" s="5">
        <f t="shared" si="71"/>
        <v>368930.33844028041</v>
      </c>
      <c r="DN30" s="5">
        <f t="shared" si="72"/>
        <v>266535.50311988586</v>
      </c>
      <c r="DP30" s="5">
        <f t="shared" si="73"/>
        <v>0</v>
      </c>
      <c r="DQ30" s="5">
        <f t="shared" si="74"/>
        <v>72.370182517917272</v>
      </c>
      <c r="DR30" s="5">
        <f t="shared" si="75"/>
        <v>72.370182517917272</v>
      </c>
      <c r="DS30" s="5">
        <f t="shared" si="76"/>
        <v>52.284187551069174</v>
      </c>
      <c r="DU30" s="5">
        <f t="shared" si="77"/>
        <v>0</v>
      </c>
      <c r="DV30" s="5">
        <f t="shared" si="78"/>
        <v>0</v>
      </c>
      <c r="DW30" s="5">
        <f t="shared" si="79"/>
        <v>0</v>
      </c>
      <c r="DX30" s="5">
        <f t="shared" si="80"/>
        <v>0</v>
      </c>
      <c r="ED30" s="5"/>
      <c r="EE30" s="5"/>
      <c r="EF30" s="5"/>
      <c r="EG30" s="5"/>
      <c r="EH30" s="5"/>
      <c r="EI30" s="5"/>
    </row>
    <row r="31" spans="1:139" ht="12" customHeight="1" x14ac:dyDescent="0.2">
      <c r="A31" s="28">
        <v>12875</v>
      </c>
      <c r="C31" s="3">
        <v>0</v>
      </c>
      <c r="D31" s="3">
        <v>1298700</v>
      </c>
      <c r="E31" s="3">
        <v>285756</v>
      </c>
      <c r="F31" s="3">
        <v>6585000</v>
      </c>
      <c r="G31" s="3">
        <v>1040400</v>
      </c>
      <c r="H31" s="3">
        <v>751642</v>
      </c>
      <c r="O31" s="3">
        <f t="shared" si="81"/>
        <v>6585000</v>
      </c>
      <c r="P31" s="3">
        <f t="shared" si="0"/>
        <v>2339100</v>
      </c>
      <c r="Q31" s="3">
        <f t="shared" si="1"/>
        <v>8924100</v>
      </c>
      <c r="R31" s="3">
        <f t="shared" si="2"/>
        <v>1037398</v>
      </c>
      <c r="T31" s="3"/>
      <c r="U31" s="3"/>
      <c r="W31" s="3"/>
      <c r="Y31" s="5">
        <f>AD31+AI31</f>
        <v>0</v>
      </c>
      <c r="Z31" s="5">
        <f t="shared" si="4"/>
        <v>1298700</v>
      </c>
      <c r="AA31" s="5">
        <f t="shared" si="5"/>
        <v>1298700</v>
      </c>
      <c r="AB31" s="5">
        <f t="shared" si="4"/>
        <v>285756</v>
      </c>
      <c r="AD31" s="5">
        <f>C31*$AE$7</f>
        <v>0</v>
      </c>
      <c r="AE31" s="5">
        <f t="shared" si="6"/>
        <v>215340.82362000001</v>
      </c>
      <c r="AF31" s="5">
        <f t="shared" si="7"/>
        <v>215340.82362000001</v>
      </c>
      <c r="AG31" s="5">
        <f t="shared" si="8"/>
        <v>47381.945325599998</v>
      </c>
      <c r="AI31" s="5">
        <f>C31*$AJ$7</f>
        <v>0</v>
      </c>
      <c r="AJ31" s="5">
        <f t="shared" si="9"/>
        <v>1083359.1763800001</v>
      </c>
      <c r="AK31" s="5">
        <f t="shared" si="10"/>
        <v>1083359.1763800001</v>
      </c>
      <c r="AL31" s="5">
        <f t="shared" si="11"/>
        <v>238374.05467440002</v>
      </c>
      <c r="AN31" s="5">
        <f>'20-Yrs Acad Revised'!H30</f>
        <v>642304.86769796163</v>
      </c>
      <c r="AO31" s="5">
        <f>'20-Yrs Acad Revised'!I30</f>
        <v>101481.24287820187</v>
      </c>
      <c r="AP31" s="5">
        <f t="shared" si="12"/>
        <v>743786.11057616351</v>
      </c>
      <c r="AQ31" s="5">
        <f>'20-Yrs Acad Revised'!K30</f>
        <v>73315.613571181675</v>
      </c>
      <c r="AS31" s="3">
        <f t="shared" si="13"/>
        <v>5942695.1323020384</v>
      </c>
      <c r="AT31" s="3">
        <f t="shared" si="14"/>
        <v>938918.75712179835</v>
      </c>
      <c r="AU31" s="5">
        <f t="shared" si="15"/>
        <v>6881613.889423837</v>
      </c>
      <c r="AV31" s="3">
        <f t="shared" si="16"/>
        <v>678326.38642881834</v>
      </c>
      <c r="AX31" s="5">
        <f t="shared" si="17"/>
        <v>350167.04432971409</v>
      </c>
      <c r="AY31" s="5">
        <f t="shared" si="18"/>
        <v>55324.797710043211</v>
      </c>
      <c r="AZ31" s="5">
        <f t="shared" si="19"/>
        <v>405491.84203975729</v>
      </c>
      <c r="BA31" s="5">
        <f t="shared" si="20"/>
        <v>39969.667051492019</v>
      </c>
      <c r="BC31" s="5">
        <f t="shared" si="21"/>
        <v>1062684.780150099</v>
      </c>
      <c r="BD31" s="5">
        <f t="shared" si="22"/>
        <v>167899.35387519561</v>
      </c>
      <c r="BE31" s="5">
        <f t="shared" si="23"/>
        <v>1230584.1340252946</v>
      </c>
      <c r="BF31" s="5">
        <f t="shared" si="24"/>
        <v>121299.69833281408</v>
      </c>
      <c r="BH31" s="5">
        <f t="shared" si="25"/>
        <v>134569.64186963832</v>
      </c>
      <c r="BI31" s="5">
        <f t="shared" si="26"/>
        <v>21261.390341863585</v>
      </c>
      <c r="BJ31" s="5">
        <f t="shared" si="27"/>
        <v>155831.03221150191</v>
      </c>
      <c r="BK31" s="5">
        <f t="shared" si="28"/>
        <v>15360.394040118252</v>
      </c>
      <c r="BM31" s="5">
        <f t="shared" si="29"/>
        <v>1473.1486942793872</v>
      </c>
      <c r="BN31" s="5">
        <f t="shared" si="30"/>
        <v>232.75078231257015</v>
      </c>
      <c r="BO31" s="5">
        <f t="shared" si="31"/>
        <v>1705.8994765919574</v>
      </c>
      <c r="BP31" s="5">
        <f t="shared" si="32"/>
        <v>168.15192571990087</v>
      </c>
      <c r="BR31" s="5">
        <f t="shared" si="33"/>
        <v>2338.9443825698545</v>
      </c>
      <c r="BS31" s="5">
        <f t="shared" si="34"/>
        <v>369.54255666297291</v>
      </c>
      <c r="BT31" s="5">
        <f t="shared" si="35"/>
        <v>2708.4869392328274</v>
      </c>
      <c r="BU31" s="5">
        <f t="shared" si="36"/>
        <v>266.9778031288642</v>
      </c>
      <c r="BW31" s="5">
        <f t="shared" si="37"/>
        <v>138762.78392640082</v>
      </c>
      <c r="BX31" s="5">
        <f t="shared" si="38"/>
        <v>21923.887683679182</v>
      </c>
      <c r="BY31" s="5">
        <f t="shared" si="39"/>
        <v>160686.67161008</v>
      </c>
      <c r="BZ31" s="5">
        <f t="shared" si="40"/>
        <v>15839.018441307178</v>
      </c>
      <c r="CB31" s="5">
        <f t="shared" si="41"/>
        <v>712.2023147327734</v>
      </c>
      <c r="CC31" s="5">
        <f t="shared" si="42"/>
        <v>112.52472107030789</v>
      </c>
      <c r="CD31" s="5">
        <f t="shared" si="43"/>
        <v>824.72703580308132</v>
      </c>
      <c r="CE31" s="5">
        <f t="shared" si="44"/>
        <v>81.29402767659397</v>
      </c>
      <c r="CG31" s="5">
        <f t="shared" si="45"/>
        <v>30577.302889822178</v>
      </c>
      <c r="CH31" s="5">
        <f t="shared" si="46"/>
        <v>4831.0745522507204</v>
      </c>
      <c r="CI31" s="5">
        <f t="shared" si="47"/>
        <v>35408.377442072902</v>
      </c>
      <c r="CJ31" s="5">
        <f t="shared" si="48"/>
        <v>3490.2331205332912</v>
      </c>
      <c r="CL31" s="5">
        <f t="shared" si="49"/>
        <v>35279.911372559087</v>
      </c>
      <c r="CM31" s="5">
        <f t="shared" si="50"/>
        <v>5574.0652683387207</v>
      </c>
      <c r="CN31" s="5">
        <f t="shared" si="51"/>
        <v>40853.97664089781</v>
      </c>
      <c r="CO31" s="5">
        <f t="shared" si="52"/>
        <v>4027.0103483512617</v>
      </c>
      <c r="CQ31" s="5">
        <f t="shared" si="53"/>
        <v>361013.095347227</v>
      </c>
      <c r="CR31" s="5">
        <f t="shared" si="54"/>
        <v>57038.424358277138</v>
      </c>
      <c r="CS31" s="5">
        <f t="shared" si="55"/>
        <v>418051.51970550412</v>
      </c>
      <c r="CT31" s="5">
        <f t="shared" si="56"/>
        <v>41207.684891872494</v>
      </c>
      <c r="CV31" s="5">
        <f t="shared" si="57"/>
        <v>327479.43002255249</v>
      </c>
      <c r="CW31" s="5">
        <f t="shared" si="58"/>
        <v>51740.258009941317</v>
      </c>
      <c r="CX31" s="5">
        <f t="shared" si="59"/>
        <v>379219.68803249381</v>
      </c>
      <c r="CY31" s="5">
        <f t="shared" si="60"/>
        <v>37379.99904950818</v>
      </c>
      <c r="DA31" s="5">
        <f t="shared" si="61"/>
        <v>32625.428127121912</v>
      </c>
      <c r="DB31" s="5">
        <f t="shared" si="62"/>
        <v>5154.6690088773939</v>
      </c>
      <c r="DC31" s="5">
        <f t="shared" si="63"/>
        <v>37780.097135999305</v>
      </c>
      <c r="DD31" s="5">
        <f t="shared" si="64"/>
        <v>3724.0154970882563</v>
      </c>
      <c r="DF31" s="5">
        <f t="shared" si="65"/>
        <v>1129483.8945758925</v>
      </c>
      <c r="DG31" s="5">
        <f t="shared" si="66"/>
        <v>178453.30963048723</v>
      </c>
      <c r="DH31" s="5">
        <f t="shared" si="67"/>
        <v>1307937.2042063796</v>
      </c>
      <c r="DI31" s="5">
        <f t="shared" si="68"/>
        <v>128924.45459177114</v>
      </c>
      <c r="DK31" s="5">
        <f t="shared" si="69"/>
        <v>2335069.4719619821</v>
      </c>
      <c r="DL31" s="5">
        <f t="shared" si="70"/>
        <v>368930.33844028041</v>
      </c>
      <c r="DM31" s="5">
        <f t="shared" si="71"/>
        <v>2703999.8104022625</v>
      </c>
      <c r="DN31" s="5">
        <f t="shared" si="72"/>
        <v>266535.50311988586</v>
      </c>
      <c r="DP31" s="5">
        <f t="shared" si="73"/>
        <v>458.05233744760204</v>
      </c>
      <c r="DQ31" s="5">
        <f t="shared" si="74"/>
        <v>72.370182517917272</v>
      </c>
      <c r="DR31" s="5">
        <f t="shared" si="75"/>
        <v>530.42251996551931</v>
      </c>
      <c r="DS31" s="5">
        <f t="shared" si="76"/>
        <v>52.284187551069174</v>
      </c>
      <c r="DU31" s="5">
        <f t="shared" si="77"/>
        <v>0</v>
      </c>
      <c r="DV31" s="5">
        <f t="shared" si="78"/>
        <v>0</v>
      </c>
      <c r="DW31" s="5">
        <f t="shared" si="79"/>
        <v>0</v>
      </c>
      <c r="DX31" s="5">
        <f t="shared" si="80"/>
        <v>0</v>
      </c>
      <c r="ED31" s="5"/>
      <c r="EE31" s="5"/>
      <c r="EF31" s="5"/>
      <c r="EG31" s="5"/>
      <c r="EH31" s="5"/>
      <c r="EI31" s="5"/>
    </row>
    <row r="32" spans="1:139" ht="12" customHeight="1" x14ac:dyDescent="0.2">
      <c r="A32" s="28">
        <v>13058</v>
      </c>
      <c r="D32" s="3">
        <v>1298700</v>
      </c>
      <c r="E32" s="3">
        <v>285756</v>
      </c>
      <c r="G32" s="3">
        <v>908700</v>
      </c>
      <c r="H32" s="3">
        <v>751642</v>
      </c>
      <c r="P32" s="3">
        <f t="shared" si="0"/>
        <v>2207400</v>
      </c>
      <c r="Q32" s="3">
        <f t="shared" si="1"/>
        <v>2207400</v>
      </c>
      <c r="R32" s="3">
        <f t="shared" si="2"/>
        <v>1037398</v>
      </c>
      <c r="T32" s="3"/>
      <c r="U32" s="3"/>
      <c r="W32" s="3"/>
      <c r="Z32" s="5">
        <f t="shared" si="4"/>
        <v>1298700</v>
      </c>
      <c r="AA32" s="5">
        <f t="shared" si="5"/>
        <v>1298700</v>
      </c>
      <c r="AB32" s="5">
        <f t="shared" si="4"/>
        <v>285756</v>
      </c>
      <c r="AD32" s="5"/>
      <c r="AE32" s="5">
        <f t="shared" si="6"/>
        <v>215340.82362000001</v>
      </c>
      <c r="AF32" s="5">
        <f t="shared" si="7"/>
        <v>215340.82362000001</v>
      </c>
      <c r="AG32" s="5">
        <f t="shared" si="8"/>
        <v>47381.945325599998</v>
      </c>
      <c r="AJ32" s="5">
        <f t="shared" si="9"/>
        <v>1083359.1763800001</v>
      </c>
      <c r="AK32" s="5">
        <f t="shared" si="10"/>
        <v>1083359.1763800001</v>
      </c>
      <c r="AL32" s="5">
        <f t="shared" si="11"/>
        <v>238374.05467440002</v>
      </c>
      <c r="AN32" s="5">
        <f>'20-Yrs Acad Revised'!H31</f>
        <v>0</v>
      </c>
      <c r="AO32" s="5">
        <f>'20-Yrs Acad Revised'!I31</f>
        <v>88635.145524242631</v>
      </c>
      <c r="AP32" s="5">
        <f t="shared" si="12"/>
        <v>88635.145524242631</v>
      </c>
      <c r="AQ32" s="5">
        <f>'20-Yrs Acad Revised'!K31</f>
        <v>73315.613571181675</v>
      </c>
      <c r="AS32" s="3">
        <f t="shared" si="13"/>
        <v>0</v>
      </c>
      <c r="AT32" s="3">
        <f t="shared" si="14"/>
        <v>820064.85447575734</v>
      </c>
      <c r="AU32" s="5">
        <f t="shared" si="15"/>
        <v>820064.85447575734</v>
      </c>
      <c r="AV32" s="3">
        <f t="shared" si="16"/>
        <v>678326.38642881834</v>
      </c>
      <c r="AX32" s="5">
        <f t="shared" si="17"/>
        <v>0</v>
      </c>
      <c r="AY32" s="5">
        <f t="shared" si="18"/>
        <v>48321.456823448927</v>
      </c>
      <c r="AZ32" s="5">
        <f t="shared" si="19"/>
        <v>48321.456823448927</v>
      </c>
      <c r="BA32" s="5">
        <f t="shared" si="20"/>
        <v>39969.667051492019</v>
      </c>
      <c r="BC32" s="5">
        <f t="shared" si="21"/>
        <v>0</v>
      </c>
      <c r="BD32" s="5">
        <f t="shared" si="22"/>
        <v>146645.65827219363</v>
      </c>
      <c r="BE32" s="5">
        <f t="shared" si="23"/>
        <v>146645.65827219363</v>
      </c>
      <c r="BF32" s="5">
        <f t="shared" si="24"/>
        <v>121299.69833281408</v>
      </c>
      <c r="BH32" s="5">
        <f t="shared" si="25"/>
        <v>0</v>
      </c>
      <c r="BI32" s="5">
        <f t="shared" si="26"/>
        <v>18569.997504470819</v>
      </c>
      <c r="BJ32" s="5">
        <f t="shared" si="27"/>
        <v>18569.997504470819</v>
      </c>
      <c r="BK32" s="5">
        <f t="shared" si="28"/>
        <v>15360.394040118252</v>
      </c>
      <c r="BM32" s="5">
        <f t="shared" si="29"/>
        <v>0</v>
      </c>
      <c r="BN32" s="5">
        <f t="shared" si="30"/>
        <v>203.28780842698242</v>
      </c>
      <c r="BO32" s="5">
        <f t="shared" si="31"/>
        <v>203.28780842698242</v>
      </c>
      <c r="BP32" s="5">
        <f t="shared" si="32"/>
        <v>168.15192571990087</v>
      </c>
      <c r="BR32" s="5">
        <f t="shared" si="33"/>
        <v>0</v>
      </c>
      <c r="BS32" s="5">
        <f t="shared" si="34"/>
        <v>322.76366901157587</v>
      </c>
      <c r="BT32" s="5">
        <f t="shared" si="35"/>
        <v>322.76366901157587</v>
      </c>
      <c r="BU32" s="5">
        <f t="shared" si="36"/>
        <v>266.9778031288642</v>
      </c>
      <c r="BW32" s="5">
        <f t="shared" si="37"/>
        <v>0</v>
      </c>
      <c r="BX32" s="5">
        <f t="shared" si="38"/>
        <v>19148.632005151165</v>
      </c>
      <c r="BY32" s="5">
        <f t="shared" si="39"/>
        <v>19148.632005151165</v>
      </c>
      <c r="BZ32" s="5">
        <f t="shared" si="40"/>
        <v>15839.018441307178</v>
      </c>
      <c r="CB32" s="5">
        <f t="shared" si="41"/>
        <v>0</v>
      </c>
      <c r="CC32" s="5">
        <f t="shared" si="42"/>
        <v>98.280674775652429</v>
      </c>
      <c r="CD32" s="5">
        <f t="shared" si="43"/>
        <v>98.280674775652429</v>
      </c>
      <c r="CE32" s="5">
        <f t="shared" si="44"/>
        <v>81.29402767659397</v>
      </c>
      <c r="CG32" s="5">
        <f t="shared" si="45"/>
        <v>0</v>
      </c>
      <c r="CH32" s="5">
        <f t="shared" si="46"/>
        <v>4219.5284944542773</v>
      </c>
      <c r="CI32" s="5">
        <f t="shared" si="47"/>
        <v>4219.5284944542773</v>
      </c>
      <c r="CJ32" s="5">
        <f t="shared" si="48"/>
        <v>3490.2331205332912</v>
      </c>
      <c r="CL32" s="5">
        <f t="shared" si="49"/>
        <v>0</v>
      </c>
      <c r="CM32" s="5">
        <f t="shared" si="50"/>
        <v>4868.467040887539</v>
      </c>
      <c r="CN32" s="5">
        <f t="shared" si="51"/>
        <v>4868.467040887539</v>
      </c>
      <c r="CO32" s="5">
        <f t="shared" si="52"/>
        <v>4027.0103483512617</v>
      </c>
      <c r="CQ32" s="5">
        <f t="shared" si="53"/>
        <v>0</v>
      </c>
      <c r="CR32" s="5">
        <f t="shared" si="54"/>
        <v>49818.162451332602</v>
      </c>
      <c r="CS32" s="5">
        <f t="shared" si="55"/>
        <v>49818.162451332602</v>
      </c>
      <c r="CT32" s="5">
        <f t="shared" si="56"/>
        <v>41207.684891872494</v>
      </c>
      <c r="CV32" s="5">
        <f t="shared" si="57"/>
        <v>0</v>
      </c>
      <c r="CW32" s="5">
        <f t="shared" si="58"/>
        <v>45190.66940949027</v>
      </c>
      <c r="CX32" s="5">
        <f t="shared" si="59"/>
        <v>45190.66940949027</v>
      </c>
      <c r="CY32" s="5">
        <f t="shared" si="60"/>
        <v>37379.99904950818</v>
      </c>
      <c r="DA32" s="5">
        <f t="shared" si="61"/>
        <v>0</v>
      </c>
      <c r="DB32" s="5">
        <f t="shared" si="62"/>
        <v>4502.1604463349559</v>
      </c>
      <c r="DC32" s="5">
        <f t="shared" si="63"/>
        <v>4502.1604463349559</v>
      </c>
      <c r="DD32" s="5">
        <f t="shared" si="64"/>
        <v>3724.0154970882563</v>
      </c>
      <c r="DF32" s="5">
        <f t="shared" si="65"/>
        <v>0</v>
      </c>
      <c r="DG32" s="5">
        <f t="shared" si="66"/>
        <v>155863.63173896939</v>
      </c>
      <c r="DH32" s="5">
        <f t="shared" si="67"/>
        <v>155863.63173896939</v>
      </c>
      <c r="DI32" s="5">
        <f t="shared" si="68"/>
        <v>128924.45459177114</v>
      </c>
      <c r="DK32" s="5">
        <f t="shared" si="69"/>
        <v>0</v>
      </c>
      <c r="DL32" s="5">
        <f t="shared" si="70"/>
        <v>322228.94900104072</v>
      </c>
      <c r="DM32" s="5">
        <f t="shared" si="71"/>
        <v>322228.94900104072</v>
      </c>
      <c r="DN32" s="5">
        <f t="shared" si="72"/>
        <v>266535.50311988586</v>
      </c>
      <c r="DP32" s="5">
        <f t="shared" si="73"/>
        <v>0</v>
      </c>
      <c r="DQ32" s="5">
        <f t="shared" si="74"/>
        <v>63.209135768965226</v>
      </c>
      <c r="DR32" s="5">
        <f t="shared" si="75"/>
        <v>63.209135768965226</v>
      </c>
      <c r="DS32" s="5">
        <f t="shared" si="76"/>
        <v>52.284187551069174</v>
      </c>
      <c r="DU32" s="5">
        <f t="shared" si="77"/>
        <v>0</v>
      </c>
      <c r="DV32" s="5">
        <f t="shared" si="78"/>
        <v>0</v>
      </c>
      <c r="DW32" s="5">
        <f t="shared" si="79"/>
        <v>0</v>
      </c>
      <c r="DX32" s="5">
        <f t="shared" si="80"/>
        <v>0</v>
      </c>
      <c r="ED32" s="5"/>
      <c r="EE32" s="5"/>
      <c r="EF32" s="5"/>
      <c r="EG32" s="5"/>
      <c r="EH32" s="5"/>
      <c r="EI32" s="5"/>
    </row>
    <row r="33" spans="1:139" ht="12" customHeight="1" x14ac:dyDescent="0.2">
      <c r="A33" s="28">
        <v>13241</v>
      </c>
      <c r="C33" s="3">
        <v>0</v>
      </c>
      <c r="D33" s="3">
        <v>1298700</v>
      </c>
      <c r="E33" s="3">
        <v>285756</v>
      </c>
      <c r="F33" s="3">
        <v>6850000</v>
      </c>
      <c r="G33" s="3">
        <v>908700</v>
      </c>
      <c r="H33" s="3">
        <v>751642</v>
      </c>
      <c r="O33" s="3">
        <f t="shared" si="81"/>
        <v>6850000</v>
      </c>
      <c r="P33" s="3">
        <f t="shared" si="0"/>
        <v>2207400</v>
      </c>
      <c r="Q33" s="3">
        <f t="shared" si="1"/>
        <v>9057400</v>
      </c>
      <c r="R33" s="3">
        <f t="shared" si="2"/>
        <v>1037398</v>
      </c>
      <c r="T33" s="3"/>
      <c r="U33" s="3"/>
      <c r="W33" s="3"/>
      <c r="Y33" s="5">
        <f>AD33+AI33</f>
        <v>0</v>
      </c>
      <c r="Z33" s="5">
        <f t="shared" si="4"/>
        <v>1298700</v>
      </c>
      <c r="AA33" s="5">
        <f t="shared" si="5"/>
        <v>1298700</v>
      </c>
      <c r="AB33" s="5">
        <f t="shared" si="4"/>
        <v>285756</v>
      </c>
      <c r="AD33" s="5">
        <f>C33*$AE$7</f>
        <v>0</v>
      </c>
      <c r="AE33" s="5">
        <f t="shared" si="6"/>
        <v>215340.82362000001</v>
      </c>
      <c r="AF33" s="5">
        <f t="shared" si="7"/>
        <v>215340.82362000001</v>
      </c>
      <c r="AG33" s="5">
        <f t="shared" si="8"/>
        <v>47381.945325599998</v>
      </c>
      <c r="AI33" s="5">
        <f>C33*$AJ$7</f>
        <v>0</v>
      </c>
      <c r="AJ33" s="5">
        <f t="shared" si="9"/>
        <v>1083359.1763800001</v>
      </c>
      <c r="AK33" s="5">
        <f t="shared" si="10"/>
        <v>1083359.1763800001</v>
      </c>
      <c r="AL33" s="5">
        <f t="shared" si="11"/>
        <v>238374.05467440002</v>
      </c>
      <c r="AN33" s="5">
        <f>'20-Yrs Acad Revised'!H32</f>
        <v>668153.12736993737</v>
      </c>
      <c r="AO33" s="5">
        <f>'20-Yrs Acad Revised'!I32</f>
        <v>88635.145524242631</v>
      </c>
      <c r="AP33" s="5">
        <f t="shared" si="12"/>
        <v>756788.27289418003</v>
      </c>
      <c r="AQ33" s="5">
        <f>'20-Yrs Acad Revised'!K32</f>
        <v>73315.613571181675</v>
      </c>
      <c r="AS33" s="3">
        <f t="shared" si="13"/>
        <v>6181846.8726300634</v>
      </c>
      <c r="AT33" s="3">
        <f t="shared" si="14"/>
        <v>820064.85447575734</v>
      </c>
      <c r="AU33" s="5">
        <f t="shared" si="15"/>
        <v>7001911.7271058206</v>
      </c>
      <c r="AV33" s="3">
        <f t="shared" si="16"/>
        <v>678326.38642881834</v>
      </c>
      <c r="AX33" s="5">
        <f t="shared" si="17"/>
        <v>364258.80845232221</v>
      </c>
      <c r="AY33" s="5">
        <f t="shared" si="18"/>
        <v>48321.456823448927</v>
      </c>
      <c r="AZ33" s="5">
        <f t="shared" si="19"/>
        <v>412580.26527577115</v>
      </c>
      <c r="BA33" s="5">
        <f t="shared" si="20"/>
        <v>39969.667051492019</v>
      </c>
      <c r="BC33" s="5">
        <f t="shared" si="21"/>
        <v>1105450.3787438388</v>
      </c>
      <c r="BD33" s="5">
        <f t="shared" si="22"/>
        <v>146645.65827219363</v>
      </c>
      <c r="BE33" s="5">
        <f t="shared" si="23"/>
        <v>1252096.0370160323</v>
      </c>
      <c r="BF33" s="5">
        <f t="shared" si="24"/>
        <v>121299.69833281408</v>
      </c>
      <c r="BH33" s="5">
        <f t="shared" si="25"/>
        <v>139985.12479985156</v>
      </c>
      <c r="BI33" s="5">
        <f t="shared" si="26"/>
        <v>18569.997504470819</v>
      </c>
      <c r="BJ33" s="5">
        <f t="shared" si="27"/>
        <v>158555.12230432237</v>
      </c>
      <c r="BK33" s="5">
        <f t="shared" si="28"/>
        <v>15360.394040118252</v>
      </c>
      <c r="BM33" s="5">
        <f t="shared" si="29"/>
        <v>1532.4325825077908</v>
      </c>
      <c r="BN33" s="5">
        <f t="shared" si="30"/>
        <v>203.28780842698242</v>
      </c>
      <c r="BO33" s="5">
        <f t="shared" si="31"/>
        <v>1735.7203909347731</v>
      </c>
      <c r="BP33" s="5">
        <f t="shared" si="32"/>
        <v>168.15192571990087</v>
      </c>
      <c r="BR33" s="5">
        <f t="shared" si="33"/>
        <v>2433.0704663027341</v>
      </c>
      <c r="BS33" s="5">
        <f t="shared" si="34"/>
        <v>322.76366901157587</v>
      </c>
      <c r="BT33" s="5">
        <f t="shared" si="35"/>
        <v>2755.8341353143101</v>
      </c>
      <c r="BU33" s="5">
        <f t="shared" si="36"/>
        <v>266.9778031288642</v>
      </c>
      <c r="BW33" s="5">
        <f t="shared" si="37"/>
        <v>144347.01137370474</v>
      </c>
      <c r="BX33" s="5">
        <f t="shared" si="38"/>
        <v>19148.632005151165</v>
      </c>
      <c r="BY33" s="5">
        <f t="shared" si="39"/>
        <v>163495.64337885589</v>
      </c>
      <c r="BZ33" s="5">
        <f t="shared" si="40"/>
        <v>15839.018441307178</v>
      </c>
      <c r="CB33" s="5">
        <f t="shared" si="41"/>
        <v>740.86345572050084</v>
      </c>
      <c r="CC33" s="5">
        <f t="shared" si="42"/>
        <v>98.280674775652429</v>
      </c>
      <c r="CD33" s="5">
        <f t="shared" si="43"/>
        <v>839.14413049615325</v>
      </c>
      <c r="CE33" s="5">
        <f t="shared" si="44"/>
        <v>81.29402767659397</v>
      </c>
      <c r="CG33" s="5">
        <f t="shared" si="45"/>
        <v>31807.824570278197</v>
      </c>
      <c r="CH33" s="5">
        <f t="shared" si="46"/>
        <v>4219.5284944542773</v>
      </c>
      <c r="CI33" s="5">
        <f t="shared" si="47"/>
        <v>36027.353064732473</v>
      </c>
      <c r="CJ33" s="5">
        <f t="shared" si="48"/>
        <v>3490.2331205332912</v>
      </c>
      <c r="CL33" s="5">
        <f t="shared" si="49"/>
        <v>36699.680015494268</v>
      </c>
      <c r="CM33" s="5">
        <f t="shared" si="50"/>
        <v>4868.467040887539</v>
      </c>
      <c r="CN33" s="5">
        <f t="shared" si="51"/>
        <v>41568.147056381807</v>
      </c>
      <c r="CO33" s="5">
        <f t="shared" si="52"/>
        <v>4027.0103483512617</v>
      </c>
      <c r="CQ33" s="5">
        <f t="shared" si="53"/>
        <v>375541.33684563474</v>
      </c>
      <c r="CR33" s="5">
        <f t="shared" si="54"/>
        <v>49818.162451332602</v>
      </c>
      <c r="CS33" s="5">
        <f t="shared" si="55"/>
        <v>425359.49929696735</v>
      </c>
      <c r="CT33" s="5">
        <f t="shared" si="56"/>
        <v>41207.684891872494</v>
      </c>
      <c r="CV33" s="5">
        <f t="shared" si="57"/>
        <v>340658.17701662634</v>
      </c>
      <c r="CW33" s="5">
        <f t="shared" si="58"/>
        <v>45190.66940949027</v>
      </c>
      <c r="CX33" s="5">
        <f t="shared" si="59"/>
        <v>385848.84642611659</v>
      </c>
      <c r="CY33" s="5">
        <f t="shared" si="60"/>
        <v>37379.99904950818</v>
      </c>
      <c r="DA33" s="5">
        <f t="shared" si="61"/>
        <v>33938.372463293104</v>
      </c>
      <c r="DB33" s="5">
        <f t="shared" si="62"/>
        <v>4502.1604463349559</v>
      </c>
      <c r="DC33" s="5">
        <f t="shared" si="63"/>
        <v>38440.532909628062</v>
      </c>
      <c r="DD33" s="5">
        <f t="shared" si="64"/>
        <v>3724.0154970882563</v>
      </c>
      <c r="DF33" s="5">
        <f t="shared" si="65"/>
        <v>1174937.6883591288</v>
      </c>
      <c r="DG33" s="5">
        <f t="shared" si="66"/>
        <v>155863.63173896939</v>
      </c>
      <c r="DH33" s="5">
        <f t="shared" si="67"/>
        <v>1330801.3200980981</v>
      </c>
      <c r="DI33" s="5">
        <f t="shared" si="68"/>
        <v>128924.45459177114</v>
      </c>
      <c r="DK33" s="5">
        <f t="shared" si="69"/>
        <v>2429039.617758478</v>
      </c>
      <c r="DL33" s="5">
        <f t="shared" si="70"/>
        <v>322228.94900104072</v>
      </c>
      <c r="DM33" s="5">
        <f t="shared" si="71"/>
        <v>2751268.5667595188</v>
      </c>
      <c r="DN33" s="5">
        <f t="shared" si="72"/>
        <v>266535.50311988586</v>
      </c>
      <c r="DP33" s="5">
        <f t="shared" si="73"/>
        <v>476.48572688171208</v>
      </c>
      <c r="DQ33" s="5">
        <f t="shared" si="74"/>
        <v>63.209135768965226</v>
      </c>
      <c r="DR33" s="5">
        <f t="shared" si="75"/>
        <v>539.69486265067735</v>
      </c>
      <c r="DS33" s="5">
        <f t="shared" si="76"/>
        <v>52.284187551069174</v>
      </c>
      <c r="DU33" s="5">
        <f t="shared" si="77"/>
        <v>0</v>
      </c>
      <c r="DV33" s="5">
        <f t="shared" si="78"/>
        <v>0</v>
      </c>
      <c r="DW33" s="5">
        <f t="shared" si="79"/>
        <v>0</v>
      </c>
      <c r="DX33" s="5">
        <f t="shared" si="80"/>
        <v>0</v>
      </c>
      <c r="ED33" s="5"/>
      <c r="EE33" s="5"/>
      <c r="EF33" s="5"/>
      <c r="EG33" s="5"/>
      <c r="EH33" s="5"/>
      <c r="EI33" s="5"/>
    </row>
    <row r="34" spans="1:139" ht="12" customHeight="1" x14ac:dyDescent="0.2">
      <c r="A34" s="28">
        <v>13424</v>
      </c>
      <c r="D34" s="3">
        <v>1298700</v>
      </c>
      <c r="E34" s="3">
        <v>285756</v>
      </c>
      <c r="G34" s="3">
        <v>771700</v>
      </c>
      <c r="H34" s="3">
        <v>751642</v>
      </c>
      <c r="P34" s="3">
        <f t="shared" si="0"/>
        <v>2070400</v>
      </c>
      <c r="Q34" s="3">
        <f t="shared" si="1"/>
        <v>2070400</v>
      </c>
      <c r="R34" s="3">
        <f t="shared" si="2"/>
        <v>1037398</v>
      </c>
      <c r="T34" s="3"/>
      <c r="U34" s="3"/>
      <c r="W34" s="3"/>
      <c r="Z34" s="5">
        <f t="shared" si="4"/>
        <v>1298700</v>
      </c>
      <c r="AA34" s="5">
        <f t="shared" si="5"/>
        <v>1298700</v>
      </c>
      <c r="AB34" s="5">
        <f t="shared" si="4"/>
        <v>285756</v>
      </c>
      <c r="AD34" s="5"/>
      <c r="AE34" s="5">
        <f t="shared" si="6"/>
        <v>215340.82362000001</v>
      </c>
      <c r="AF34" s="5">
        <f t="shared" si="7"/>
        <v>215340.82362000001</v>
      </c>
      <c r="AG34" s="5">
        <f t="shared" si="8"/>
        <v>47381.945325599998</v>
      </c>
      <c r="AJ34" s="5">
        <f t="shared" si="9"/>
        <v>1083359.1763800001</v>
      </c>
      <c r="AK34" s="5">
        <f t="shared" si="10"/>
        <v>1083359.1763800001</v>
      </c>
      <c r="AL34" s="5">
        <f t="shared" si="11"/>
        <v>238374.05467440002</v>
      </c>
      <c r="AN34" s="5">
        <f>'20-Yrs Acad Revised'!H33</f>
        <v>0</v>
      </c>
      <c r="AO34" s="5">
        <f>'20-Yrs Acad Revised'!I33</f>
        <v>75272.082976843885</v>
      </c>
      <c r="AP34" s="5">
        <f t="shared" si="12"/>
        <v>75272.082976843885</v>
      </c>
      <c r="AQ34" s="5">
        <f>'20-Yrs Acad Revised'!K33</f>
        <v>73315.613571181675</v>
      </c>
      <c r="AS34" s="3">
        <f t="shared" si="13"/>
        <v>0</v>
      </c>
      <c r="AT34" s="3">
        <f t="shared" si="14"/>
        <v>696427.9170231563</v>
      </c>
      <c r="AU34" s="5">
        <f t="shared" si="15"/>
        <v>696427.9170231563</v>
      </c>
      <c r="AV34" s="3">
        <f t="shared" si="16"/>
        <v>678326.38642881834</v>
      </c>
      <c r="AX34" s="5">
        <f t="shared" si="17"/>
        <v>0</v>
      </c>
      <c r="AY34" s="5">
        <f t="shared" si="18"/>
        <v>41036.280654402486</v>
      </c>
      <c r="AZ34" s="5">
        <f t="shared" si="19"/>
        <v>41036.280654402486</v>
      </c>
      <c r="BA34" s="5">
        <f t="shared" si="20"/>
        <v>39969.667051492019</v>
      </c>
      <c r="BC34" s="5">
        <f t="shared" si="21"/>
        <v>0</v>
      </c>
      <c r="BD34" s="5">
        <f t="shared" si="22"/>
        <v>124536.65069731684</v>
      </c>
      <c r="BE34" s="5">
        <f t="shared" si="23"/>
        <v>124536.65069731684</v>
      </c>
      <c r="BF34" s="5">
        <f t="shared" si="24"/>
        <v>121299.69833281408</v>
      </c>
      <c r="BH34" s="5">
        <f t="shared" si="25"/>
        <v>0</v>
      </c>
      <c r="BI34" s="5">
        <f t="shared" si="26"/>
        <v>15770.295008473788</v>
      </c>
      <c r="BJ34" s="5">
        <f t="shared" si="27"/>
        <v>15770.295008473788</v>
      </c>
      <c r="BK34" s="5">
        <f t="shared" si="28"/>
        <v>15360.394040118252</v>
      </c>
      <c r="BM34" s="5">
        <f t="shared" si="29"/>
        <v>0</v>
      </c>
      <c r="BN34" s="5">
        <f t="shared" si="30"/>
        <v>172.63915677682661</v>
      </c>
      <c r="BO34" s="5">
        <f t="shared" si="31"/>
        <v>172.63915677682661</v>
      </c>
      <c r="BP34" s="5">
        <f t="shared" si="32"/>
        <v>168.15192571990087</v>
      </c>
      <c r="BR34" s="5">
        <f t="shared" si="33"/>
        <v>0</v>
      </c>
      <c r="BS34" s="5">
        <f t="shared" si="34"/>
        <v>274.10225968552118</v>
      </c>
      <c r="BT34" s="5">
        <f t="shared" si="35"/>
        <v>274.10225968552118</v>
      </c>
      <c r="BU34" s="5">
        <f t="shared" si="36"/>
        <v>266.9778031288642</v>
      </c>
      <c r="BW34" s="5">
        <f t="shared" si="37"/>
        <v>0</v>
      </c>
      <c r="BX34" s="5">
        <f t="shared" si="38"/>
        <v>16261.691777677072</v>
      </c>
      <c r="BY34" s="5">
        <f t="shared" si="39"/>
        <v>16261.691777677072</v>
      </c>
      <c r="BZ34" s="5">
        <f t="shared" si="40"/>
        <v>15839.018441307178</v>
      </c>
      <c r="CB34" s="5">
        <f t="shared" si="41"/>
        <v>0</v>
      </c>
      <c r="CC34" s="5">
        <f t="shared" si="42"/>
        <v>83.463405661242405</v>
      </c>
      <c r="CD34" s="5">
        <f t="shared" si="43"/>
        <v>83.463405661242405</v>
      </c>
      <c r="CE34" s="5">
        <f t="shared" si="44"/>
        <v>81.29402767659397</v>
      </c>
      <c r="CG34" s="5">
        <f t="shared" si="45"/>
        <v>0</v>
      </c>
      <c r="CH34" s="5">
        <f t="shared" si="46"/>
        <v>3583.3720030487129</v>
      </c>
      <c r="CI34" s="5">
        <f t="shared" si="47"/>
        <v>3583.3720030487129</v>
      </c>
      <c r="CJ34" s="5">
        <f t="shared" si="48"/>
        <v>3490.2331205332912</v>
      </c>
      <c r="CL34" s="5">
        <f t="shared" si="49"/>
        <v>0</v>
      </c>
      <c r="CM34" s="5">
        <f t="shared" si="50"/>
        <v>4134.4734405776535</v>
      </c>
      <c r="CN34" s="5">
        <f t="shared" si="51"/>
        <v>4134.4734405776535</v>
      </c>
      <c r="CO34" s="5">
        <f t="shared" si="52"/>
        <v>4027.0103483512617</v>
      </c>
      <c r="CQ34" s="5">
        <f t="shared" si="53"/>
        <v>0</v>
      </c>
      <c r="CR34" s="5">
        <f t="shared" si="54"/>
        <v>42307.335714419904</v>
      </c>
      <c r="CS34" s="5">
        <f t="shared" si="55"/>
        <v>42307.335714419904</v>
      </c>
      <c r="CT34" s="5">
        <f t="shared" si="56"/>
        <v>41207.684891872494</v>
      </c>
      <c r="CV34" s="5">
        <f t="shared" si="57"/>
        <v>0</v>
      </c>
      <c r="CW34" s="5">
        <f t="shared" si="58"/>
        <v>38377.505869157743</v>
      </c>
      <c r="CX34" s="5">
        <f t="shared" si="59"/>
        <v>38377.505869157743</v>
      </c>
      <c r="CY34" s="5">
        <f t="shared" si="60"/>
        <v>37379.99904950818</v>
      </c>
      <c r="DA34" s="5">
        <f t="shared" si="61"/>
        <v>0</v>
      </c>
      <c r="DB34" s="5">
        <f t="shared" si="62"/>
        <v>3823.3929970690933</v>
      </c>
      <c r="DC34" s="5">
        <f t="shared" si="63"/>
        <v>3823.3929970690933</v>
      </c>
      <c r="DD34" s="5">
        <f t="shared" si="64"/>
        <v>3724.0154970882563</v>
      </c>
      <c r="DF34" s="5">
        <f t="shared" si="65"/>
        <v>0</v>
      </c>
      <c r="DG34" s="5">
        <f t="shared" si="66"/>
        <v>132364.8779717868</v>
      </c>
      <c r="DH34" s="5">
        <f t="shared" si="67"/>
        <v>132364.8779717868</v>
      </c>
      <c r="DI34" s="5">
        <f t="shared" si="68"/>
        <v>128924.45459177114</v>
      </c>
      <c r="DK34" s="5">
        <f t="shared" si="69"/>
        <v>0</v>
      </c>
      <c r="DL34" s="5">
        <f t="shared" si="70"/>
        <v>273648.15664587117</v>
      </c>
      <c r="DM34" s="5">
        <f t="shared" si="71"/>
        <v>273648.15664587117</v>
      </c>
      <c r="DN34" s="5">
        <f t="shared" si="72"/>
        <v>266535.50311988586</v>
      </c>
      <c r="DP34" s="5">
        <f t="shared" si="73"/>
        <v>0</v>
      </c>
      <c r="DQ34" s="5">
        <f t="shared" si="74"/>
        <v>53.679421231330984</v>
      </c>
      <c r="DR34" s="5">
        <f t="shared" si="75"/>
        <v>53.679421231330984</v>
      </c>
      <c r="DS34" s="5">
        <f t="shared" si="76"/>
        <v>52.284187551069174</v>
      </c>
      <c r="DU34" s="5">
        <f t="shared" si="77"/>
        <v>0</v>
      </c>
      <c r="DV34" s="5">
        <f t="shared" si="78"/>
        <v>0</v>
      </c>
      <c r="DW34" s="5">
        <f t="shared" si="79"/>
        <v>0</v>
      </c>
      <c r="DX34" s="5">
        <f t="shared" si="80"/>
        <v>0</v>
      </c>
      <c r="ED34" s="5"/>
      <c r="EE34" s="5"/>
      <c r="EF34" s="5"/>
      <c r="EG34" s="5"/>
      <c r="EH34" s="5"/>
      <c r="EI34" s="5"/>
    </row>
    <row r="35" spans="1:139" ht="12" customHeight="1" x14ac:dyDescent="0.2">
      <c r="A35" s="28">
        <v>13606</v>
      </c>
      <c r="C35" s="3">
        <v>0</v>
      </c>
      <c r="D35" s="3">
        <v>1298700</v>
      </c>
      <c r="E35" s="3">
        <v>285756</v>
      </c>
      <c r="F35" s="3">
        <v>7125000</v>
      </c>
      <c r="G35" s="3">
        <v>771700</v>
      </c>
      <c r="H35" s="3">
        <v>751642</v>
      </c>
      <c r="O35" s="3">
        <f t="shared" si="81"/>
        <v>7125000</v>
      </c>
      <c r="P35" s="3">
        <f t="shared" si="0"/>
        <v>2070400</v>
      </c>
      <c r="Q35" s="3">
        <f t="shared" si="1"/>
        <v>9195400</v>
      </c>
      <c r="R35" s="3">
        <f t="shared" si="2"/>
        <v>1037398</v>
      </c>
      <c r="T35" s="3"/>
      <c r="U35" s="3"/>
      <c r="W35" s="3"/>
      <c r="Y35" s="5">
        <f>AD35+AI35</f>
        <v>0</v>
      </c>
      <c r="Z35" s="5">
        <f t="shared" si="4"/>
        <v>1298700</v>
      </c>
      <c r="AA35" s="5">
        <f t="shared" si="5"/>
        <v>1298700</v>
      </c>
      <c r="AB35" s="5">
        <f t="shared" si="4"/>
        <v>285756</v>
      </c>
      <c r="AD35" s="5">
        <f>C35*$AE$7</f>
        <v>0</v>
      </c>
      <c r="AE35" s="5">
        <f t="shared" si="6"/>
        <v>215340.82362000001</v>
      </c>
      <c r="AF35" s="5">
        <f t="shared" si="7"/>
        <v>215340.82362000001</v>
      </c>
      <c r="AG35" s="5">
        <f t="shared" si="8"/>
        <v>47381.945325599998</v>
      </c>
      <c r="AI35" s="5">
        <f>C35*$AJ$7</f>
        <v>0</v>
      </c>
      <c r="AJ35" s="5">
        <f t="shared" si="9"/>
        <v>1083359.1763800001</v>
      </c>
      <c r="AK35" s="5">
        <f t="shared" si="10"/>
        <v>1083359.1763800001</v>
      </c>
      <c r="AL35" s="5">
        <f t="shared" si="11"/>
        <v>238374.05467440002</v>
      </c>
      <c r="AN35" s="5">
        <f>'20-Yrs Acad Revised'!H34</f>
        <v>694976.79306727054</v>
      </c>
      <c r="AO35" s="5">
        <f>'20-Yrs Acad Revised'!I34</f>
        <v>75272.082976843885</v>
      </c>
      <c r="AP35" s="5">
        <f t="shared" si="12"/>
        <v>770248.87604411447</v>
      </c>
      <c r="AQ35" s="5">
        <f>'20-Yrs Acad Revised'!K34</f>
        <v>73315.613571181675</v>
      </c>
      <c r="AS35" s="3">
        <f t="shared" si="13"/>
        <v>6430023.20693273</v>
      </c>
      <c r="AT35" s="3">
        <f t="shared" si="14"/>
        <v>696427.9170231563</v>
      </c>
      <c r="AU35" s="5">
        <f t="shared" si="15"/>
        <v>7126451.1239558868</v>
      </c>
      <c r="AV35" s="3">
        <f t="shared" si="16"/>
        <v>678326.38642881834</v>
      </c>
      <c r="AX35" s="5">
        <f t="shared" si="17"/>
        <v>378882.33725880226</v>
      </c>
      <c r="AY35" s="5">
        <f t="shared" si="18"/>
        <v>41036.280654402486</v>
      </c>
      <c r="AZ35" s="5">
        <f t="shared" si="19"/>
        <v>419918.61791320477</v>
      </c>
      <c r="BA35" s="5">
        <f t="shared" si="20"/>
        <v>39969.667051492019</v>
      </c>
      <c r="BC35" s="5">
        <f t="shared" si="21"/>
        <v>1149829.7735109271</v>
      </c>
      <c r="BD35" s="5">
        <f t="shared" si="22"/>
        <v>124536.65069731684</v>
      </c>
      <c r="BE35" s="5">
        <f t="shared" si="23"/>
        <v>1274366.4242082438</v>
      </c>
      <c r="BF35" s="5">
        <f t="shared" si="24"/>
        <v>121299.69833281408</v>
      </c>
      <c r="BH35" s="5">
        <f t="shared" si="25"/>
        <v>145604.96557648794</v>
      </c>
      <c r="BI35" s="5">
        <f t="shared" si="26"/>
        <v>15770.295008473788</v>
      </c>
      <c r="BJ35" s="5">
        <f t="shared" si="27"/>
        <v>161375.26058496174</v>
      </c>
      <c r="BK35" s="5">
        <f t="shared" si="28"/>
        <v>15360.394040118252</v>
      </c>
      <c r="BM35" s="5">
        <f t="shared" si="29"/>
        <v>1593.9535985938701</v>
      </c>
      <c r="BN35" s="5">
        <f t="shared" si="30"/>
        <v>172.63915677682661</v>
      </c>
      <c r="BO35" s="5">
        <f t="shared" si="31"/>
        <v>1766.5927553706968</v>
      </c>
      <c r="BP35" s="5">
        <f t="shared" si="32"/>
        <v>168.15192571990087</v>
      </c>
      <c r="BR35" s="5">
        <f t="shared" si="33"/>
        <v>2530.7484777236468</v>
      </c>
      <c r="BS35" s="5">
        <f t="shared" si="34"/>
        <v>274.10225968552118</v>
      </c>
      <c r="BT35" s="5">
        <f t="shared" si="35"/>
        <v>2804.8507374091678</v>
      </c>
      <c r="BU35" s="5">
        <f t="shared" si="36"/>
        <v>266.9778031288642</v>
      </c>
      <c r="BW35" s="5">
        <f t="shared" si="37"/>
        <v>150141.96438505783</v>
      </c>
      <c r="BX35" s="5">
        <f t="shared" si="38"/>
        <v>16261.691777677072</v>
      </c>
      <c r="BY35" s="5">
        <f t="shared" si="39"/>
        <v>166403.6561627349</v>
      </c>
      <c r="BZ35" s="5">
        <f t="shared" si="40"/>
        <v>15839.018441307178</v>
      </c>
      <c r="CB35" s="5">
        <f t="shared" si="41"/>
        <v>770.6061491983312</v>
      </c>
      <c r="CC35" s="5">
        <f t="shared" si="42"/>
        <v>83.463405661242405</v>
      </c>
      <c r="CD35" s="5">
        <f t="shared" si="43"/>
        <v>854.0695548595736</v>
      </c>
      <c r="CE35" s="5">
        <f t="shared" si="44"/>
        <v>81.29402767659397</v>
      </c>
      <c r="CG35" s="5">
        <f t="shared" si="45"/>
        <v>33084.781031128783</v>
      </c>
      <c r="CH35" s="5">
        <f t="shared" si="46"/>
        <v>3583.3720030487129</v>
      </c>
      <c r="CI35" s="5">
        <f t="shared" si="47"/>
        <v>36668.153034177492</v>
      </c>
      <c r="CJ35" s="5">
        <f t="shared" si="48"/>
        <v>3490.2331205332912</v>
      </c>
      <c r="CL35" s="5">
        <f t="shared" si="49"/>
        <v>38173.024833634547</v>
      </c>
      <c r="CM35" s="5">
        <f t="shared" si="50"/>
        <v>4134.4734405776535</v>
      </c>
      <c r="CN35" s="5">
        <f t="shared" si="51"/>
        <v>42307.498274212201</v>
      </c>
      <c r="CO35" s="5">
        <f t="shared" si="52"/>
        <v>4027.0103483512617</v>
      </c>
      <c r="CQ35" s="5">
        <f t="shared" si="53"/>
        <v>390617.81387228431</v>
      </c>
      <c r="CR35" s="5">
        <f t="shared" si="54"/>
        <v>42307.335714419904</v>
      </c>
      <c r="CS35" s="5">
        <f t="shared" si="55"/>
        <v>432925.14958670421</v>
      </c>
      <c r="CT35" s="5">
        <f t="shared" si="56"/>
        <v>41207.684891872494</v>
      </c>
      <c r="CV35" s="5">
        <f t="shared" si="57"/>
        <v>354334.23521802376</v>
      </c>
      <c r="CW35" s="5">
        <f t="shared" si="58"/>
        <v>38377.505869157743</v>
      </c>
      <c r="CX35" s="5">
        <f t="shared" si="59"/>
        <v>392711.74108718149</v>
      </c>
      <c r="CY35" s="5">
        <f t="shared" si="60"/>
        <v>37379.99904950818</v>
      </c>
      <c r="DA35" s="5">
        <f t="shared" si="61"/>
        <v>35300.861868753775</v>
      </c>
      <c r="DB35" s="5">
        <f t="shared" si="62"/>
        <v>3823.3929970690933</v>
      </c>
      <c r="DC35" s="5">
        <f t="shared" si="63"/>
        <v>39124.25486582287</v>
      </c>
      <c r="DD35" s="5">
        <f t="shared" si="64"/>
        <v>3724.0154970882563</v>
      </c>
      <c r="DF35" s="5">
        <f t="shared" si="65"/>
        <v>1222106.7196436194</v>
      </c>
      <c r="DG35" s="5">
        <f t="shared" si="66"/>
        <v>132364.8779717868</v>
      </c>
      <c r="DH35" s="5">
        <f t="shared" si="67"/>
        <v>1354471.5976154061</v>
      </c>
      <c r="DI35" s="5">
        <f t="shared" si="68"/>
        <v>128924.45459177114</v>
      </c>
      <c r="DK35" s="5">
        <f t="shared" si="69"/>
        <v>2526555.8067925777</v>
      </c>
      <c r="DL35" s="5">
        <f t="shared" si="70"/>
        <v>273648.15664587117</v>
      </c>
      <c r="DM35" s="5">
        <f t="shared" si="71"/>
        <v>2800203.963438449</v>
      </c>
      <c r="DN35" s="5">
        <f t="shared" si="72"/>
        <v>266535.50311988586</v>
      </c>
      <c r="DP35" s="5">
        <f t="shared" si="73"/>
        <v>495.61471591710927</v>
      </c>
      <c r="DQ35" s="5">
        <f t="shared" si="74"/>
        <v>53.679421231330984</v>
      </c>
      <c r="DR35" s="5">
        <f t="shared" si="75"/>
        <v>549.2941371484402</v>
      </c>
      <c r="DS35" s="5">
        <f t="shared" si="76"/>
        <v>52.284187551069174</v>
      </c>
      <c r="DU35" s="5">
        <f t="shared" si="77"/>
        <v>0</v>
      </c>
      <c r="DV35" s="5">
        <f t="shared" si="78"/>
        <v>0</v>
      </c>
      <c r="DW35" s="5">
        <f t="shared" si="79"/>
        <v>0</v>
      </c>
      <c r="DX35" s="5">
        <f t="shared" si="80"/>
        <v>0</v>
      </c>
      <c r="ED35" s="5"/>
      <c r="EE35" s="5"/>
      <c r="EF35" s="5"/>
      <c r="EG35" s="5"/>
      <c r="EH35" s="5"/>
      <c r="EI35" s="5"/>
    </row>
    <row r="36" spans="1:139" ht="12" customHeight="1" x14ac:dyDescent="0.2">
      <c r="A36" s="28">
        <v>13789</v>
      </c>
      <c r="D36" s="3">
        <v>1298700</v>
      </c>
      <c r="E36" s="3">
        <v>285756</v>
      </c>
      <c r="G36" s="3">
        <v>629200</v>
      </c>
      <c r="H36" s="3">
        <v>751642</v>
      </c>
      <c r="P36" s="3">
        <f t="shared" si="0"/>
        <v>1927900</v>
      </c>
      <c r="Q36" s="3">
        <f t="shared" si="1"/>
        <v>1927900</v>
      </c>
      <c r="R36" s="3">
        <f t="shared" si="2"/>
        <v>1037398</v>
      </c>
      <c r="T36" s="3"/>
      <c r="U36" s="3"/>
      <c r="W36" s="3"/>
      <c r="Z36" s="5">
        <f t="shared" si="4"/>
        <v>1298700</v>
      </c>
      <c r="AA36" s="5">
        <f t="shared" si="5"/>
        <v>1298700</v>
      </c>
      <c r="AB36" s="5">
        <f t="shared" si="4"/>
        <v>285756</v>
      </c>
      <c r="AD36" s="5"/>
      <c r="AE36" s="5">
        <f t="shared" ref="AE36:AE63" si="82">D36*$AE$7</f>
        <v>215340.82362000001</v>
      </c>
      <c r="AF36" s="5">
        <f t="shared" si="7"/>
        <v>215340.82362000001</v>
      </c>
      <c r="AG36" s="5">
        <f t="shared" si="8"/>
        <v>47381.945325599998</v>
      </c>
      <c r="AJ36" s="5">
        <f t="shared" ref="AJ36:AJ63" si="83">D36*$AJ$7</f>
        <v>1083359.1763800001</v>
      </c>
      <c r="AK36" s="5">
        <f t="shared" si="10"/>
        <v>1083359.1763800001</v>
      </c>
      <c r="AL36" s="5">
        <f t="shared" si="11"/>
        <v>238374.05467440002</v>
      </c>
      <c r="AN36" s="5">
        <f>'20-Yrs Acad Revised'!H35</f>
        <v>0</v>
      </c>
      <c r="AO36" s="5">
        <f>'20-Yrs Acad Revised'!I35</f>
        <v>61372.54711549847</v>
      </c>
      <c r="AP36" s="5">
        <f t="shared" si="12"/>
        <v>61372.54711549847</v>
      </c>
      <c r="AQ36" s="5">
        <f>'20-Yrs Acad Revised'!K35</f>
        <v>73315.613571181675</v>
      </c>
      <c r="AS36" s="3">
        <f t="shared" si="13"/>
        <v>0</v>
      </c>
      <c r="AT36" s="3">
        <f t="shared" si="14"/>
        <v>567827.45288450166</v>
      </c>
      <c r="AU36" s="5">
        <f t="shared" si="15"/>
        <v>567827.45288450166</v>
      </c>
      <c r="AV36" s="3">
        <f t="shared" si="16"/>
        <v>678326.38642881834</v>
      </c>
      <c r="AX36" s="5">
        <f t="shared" si="17"/>
        <v>0</v>
      </c>
      <c r="AY36" s="5">
        <f t="shared" si="18"/>
        <v>33458.633909226439</v>
      </c>
      <c r="AZ36" s="5">
        <f t="shared" si="19"/>
        <v>33458.633909226439</v>
      </c>
      <c r="BA36" s="5">
        <f t="shared" si="20"/>
        <v>39969.667051492019</v>
      </c>
      <c r="BC36" s="5">
        <f t="shared" si="21"/>
        <v>0</v>
      </c>
      <c r="BD36" s="5">
        <f t="shared" si="22"/>
        <v>101540.0552270983</v>
      </c>
      <c r="BE36" s="5">
        <f t="shared" si="23"/>
        <v>101540.0552270983</v>
      </c>
      <c r="BF36" s="5">
        <f t="shared" si="24"/>
        <v>121299.69833281408</v>
      </c>
      <c r="BH36" s="5">
        <f t="shared" si="25"/>
        <v>0</v>
      </c>
      <c r="BI36" s="5">
        <f t="shared" si="26"/>
        <v>12858.195696944029</v>
      </c>
      <c r="BJ36" s="5">
        <f t="shared" si="27"/>
        <v>12858.195696944029</v>
      </c>
      <c r="BK36" s="5">
        <f t="shared" si="28"/>
        <v>15360.394040118252</v>
      </c>
      <c r="BM36" s="5">
        <f t="shared" si="29"/>
        <v>0</v>
      </c>
      <c r="BN36" s="5">
        <f t="shared" si="30"/>
        <v>140.7600848049492</v>
      </c>
      <c r="BO36" s="5">
        <f t="shared" si="31"/>
        <v>140.7600848049492</v>
      </c>
      <c r="BP36" s="5">
        <f t="shared" si="32"/>
        <v>168.15192571990087</v>
      </c>
      <c r="BR36" s="5">
        <f t="shared" si="33"/>
        <v>0</v>
      </c>
      <c r="BS36" s="5">
        <f t="shared" si="34"/>
        <v>223.48729013104821</v>
      </c>
      <c r="BT36" s="5">
        <f t="shared" si="35"/>
        <v>223.48729013104821</v>
      </c>
      <c r="BU36" s="5">
        <f t="shared" si="36"/>
        <v>266.9778031288642</v>
      </c>
      <c r="BW36" s="5">
        <f t="shared" si="37"/>
        <v>0</v>
      </c>
      <c r="BX36" s="5">
        <f t="shared" si="38"/>
        <v>13258.852489975914</v>
      </c>
      <c r="BY36" s="5">
        <f t="shared" si="39"/>
        <v>13258.852489975914</v>
      </c>
      <c r="BZ36" s="5">
        <f t="shared" si="40"/>
        <v>15839.018441307178</v>
      </c>
      <c r="CB36" s="5">
        <f t="shared" si="41"/>
        <v>0</v>
      </c>
      <c r="CC36" s="5">
        <f t="shared" si="42"/>
        <v>68.051282677275779</v>
      </c>
      <c r="CD36" s="5">
        <f t="shared" si="43"/>
        <v>68.051282677275779</v>
      </c>
      <c r="CE36" s="5">
        <f t="shared" si="44"/>
        <v>81.29402767659397</v>
      </c>
      <c r="CG36" s="5">
        <f t="shared" si="45"/>
        <v>0</v>
      </c>
      <c r="CH36" s="5">
        <f t="shared" si="46"/>
        <v>2921.6763824261375</v>
      </c>
      <c r="CI36" s="5">
        <f t="shared" si="47"/>
        <v>2921.6763824261375</v>
      </c>
      <c r="CJ36" s="5">
        <f t="shared" si="48"/>
        <v>3490.2331205332912</v>
      </c>
      <c r="CL36" s="5">
        <f t="shared" si="49"/>
        <v>0</v>
      </c>
      <c r="CM36" s="5">
        <f t="shared" si="50"/>
        <v>3371.0129439049624</v>
      </c>
      <c r="CN36" s="5">
        <f t="shared" si="51"/>
        <v>3371.0129439049624</v>
      </c>
      <c r="CO36" s="5">
        <f t="shared" si="52"/>
        <v>4027.0103483512617</v>
      </c>
      <c r="CQ36" s="5">
        <f t="shared" si="53"/>
        <v>0</v>
      </c>
      <c r="CR36" s="5">
        <f t="shared" si="54"/>
        <v>34494.979436974216</v>
      </c>
      <c r="CS36" s="5">
        <f t="shared" si="55"/>
        <v>34494.979436974216</v>
      </c>
      <c r="CT36" s="5">
        <f t="shared" si="56"/>
        <v>41207.684891872494</v>
      </c>
      <c r="CV36" s="5">
        <f t="shared" si="57"/>
        <v>0</v>
      </c>
      <c r="CW36" s="5">
        <f t="shared" si="58"/>
        <v>31290.821164797268</v>
      </c>
      <c r="CX36" s="5">
        <f t="shared" si="59"/>
        <v>31290.821164797268</v>
      </c>
      <c r="CY36" s="5">
        <f t="shared" si="60"/>
        <v>37379.99904950818</v>
      </c>
      <c r="DA36" s="5">
        <f t="shared" si="61"/>
        <v>0</v>
      </c>
      <c r="DB36" s="5">
        <f t="shared" si="62"/>
        <v>3117.3757596940177</v>
      </c>
      <c r="DC36" s="5">
        <f t="shared" si="63"/>
        <v>3117.3757596940177</v>
      </c>
      <c r="DD36" s="5">
        <f t="shared" si="64"/>
        <v>3724.0154970882563</v>
      </c>
      <c r="DF36" s="5">
        <f t="shared" si="65"/>
        <v>0</v>
      </c>
      <c r="DG36" s="5">
        <f t="shared" si="66"/>
        <v>107922.74357891442</v>
      </c>
      <c r="DH36" s="5">
        <f t="shared" si="67"/>
        <v>107922.74357891442</v>
      </c>
      <c r="DI36" s="5">
        <f t="shared" si="68"/>
        <v>128924.45459177114</v>
      </c>
      <c r="DK36" s="5">
        <f t="shared" si="69"/>
        <v>0</v>
      </c>
      <c r="DL36" s="5">
        <f t="shared" si="70"/>
        <v>223117.04051001964</v>
      </c>
      <c r="DM36" s="5">
        <f t="shared" si="71"/>
        <v>223117.04051001964</v>
      </c>
      <c r="DN36" s="5">
        <f t="shared" si="72"/>
        <v>266535.50311988586</v>
      </c>
      <c r="DP36" s="5">
        <f t="shared" si="73"/>
        <v>0</v>
      </c>
      <c r="DQ36" s="5">
        <f t="shared" si="74"/>
        <v>43.767126912988793</v>
      </c>
      <c r="DR36" s="5">
        <f t="shared" si="75"/>
        <v>43.767126912988793</v>
      </c>
      <c r="DS36" s="5">
        <f t="shared" si="76"/>
        <v>52.284187551069174</v>
      </c>
      <c r="DU36" s="5">
        <f t="shared" si="77"/>
        <v>0</v>
      </c>
      <c r="DV36" s="5">
        <f t="shared" si="78"/>
        <v>0</v>
      </c>
      <c r="DW36" s="5">
        <f t="shared" si="79"/>
        <v>0</v>
      </c>
      <c r="DX36" s="5">
        <f t="shared" si="80"/>
        <v>0</v>
      </c>
      <c r="ED36" s="5"/>
      <c r="EE36" s="5"/>
      <c r="EF36" s="5"/>
      <c r="EG36" s="5"/>
      <c r="EH36" s="5"/>
      <c r="EI36" s="5"/>
    </row>
    <row r="37" spans="1:139" ht="12" customHeight="1" x14ac:dyDescent="0.2">
      <c r="A37" s="28">
        <v>13971</v>
      </c>
      <c r="C37" s="3">
        <v>0</v>
      </c>
      <c r="D37" s="3">
        <v>1298700</v>
      </c>
      <c r="E37" s="3">
        <v>285756</v>
      </c>
      <c r="F37" s="3">
        <v>7410000</v>
      </c>
      <c r="G37" s="3">
        <v>629200</v>
      </c>
      <c r="H37" s="3">
        <v>751642</v>
      </c>
      <c r="O37" s="3">
        <f t="shared" si="81"/>
        <v>7410000</v>
      </c>
      <c r="P37" s="3">
        <f t="shared" si="0"/>
        <v>1927900</v>
      </c>
      <c r="Q37" s="3">
        <f t="shared" si="1"/>
        <v>9337900</v>
      </c>
      <c r="R37" s="3">
        <f t="shared" si="2"/>
        <v>1037398</v>
      </c>
      <c r="T37" s="3"/>
      <c r="U37" s="3"/>
      <c r="W37" s="3"/>
      <c r="Y37" s="5">
        <f>AD37+AI37</f>
        <v>0</v>
      </c>
      <c r="Z37" s="5">
        <f t="shared" si="4"/>
        <v>1298700</v>
      </c>
      <c r="AA37" s="5">
        <f t="shared" si="5"/>
        <v>1298700</v>
      </c>
      <c r="AB37" s="5">
        <f t="shared" si="4"/>
        <v>285756</v>
      </c>
      <c r="AD37" s="5">
        <f>C37*$AE$7</f>
        <v>0</v>
      </c>
      <c r="AE37" s="5">
        <f t="shared" si="82"/>
        <v>215340.82362000001</v>
      </c>
      <c r="AF37" s="5">
        <f t="shared" si="7"/>
        <v>215340.82362000001</v>
      </c>
      <c r="AG37" s="5">
        <f t="shared" si="8"/>
        <v>47381.945325599998</v>
      </c>
      <c r="AI37" s="5">
        <f>C37*$AJ$7</f>
        <v>0</v>
      </c>
      <c r="AJ37" s="5">
        <f t="shared" si="83"/>
        <v>1083359.1763800001</v>
      </c>
      <c r="AK37" s="5">
        <f t="shared" si="10"/>
        <v>1083359.1763800001</v>
      </c>
      <c r="AL37" s="5">
        <f t="shared" si="11"/>
        <v>238374.05467440002</v>
      </c>
      <c r="AN37" s="5">
        <f>'20-Yrs Acad Revised'!H36</f>
        <v>722775.86478996137</v>
      </c>
      <c r="AO37" s="5">
        <f>'20-Yrs Acad Revised'!I36</f>
        <v>61372.54711549847</v>
      </c>
      <c r="AP37" s="5">
        <f t="shared" si="12"/>
        <v>784148.41190545983</v>
      </c>
      <c r="AQ37" s="5">
        <f>'20-Yrs Acad Revised'!K36</f>
        <v>73315.613571181675</v>
      </c>
      <c r="AS37" s="3">
        <f t="shared" si="13"/>
        <v>6687224.13521004</v>
      </c>
      <c r="AT37" s="3">
        <f t="shared" si="14"/>
        <v>567827.45288450166</v>
      </c>
      <c r="AU37" s="5">
        <f t="shared" si="15"/>
        <v>7255051.5880945418</v>
      </c>
      <c r="AV37" s="3">
        <f t="shared" si="16"/>
        <v>678326.38642881834</v>
      </c>
      <c r="AX37" s="5">
        <f t="shared" si="17"/>
        <v>394037.63074915437</v>
      </c>
      <c r="AY37" s="5">
        <f t="shared" si="18"/>
        <v>33458.633909226439</v>
      </c>
      <c r="AZ37" s="5">
        <f t="shared" si="19"/>
        <v>427496.26465838082</v>
      </c>
      <c r="BA37" s="5">
        <f t="shared" si="20"/>
        <v>39969.667051492019</v>
      </c>
      <c r="BC37" s="5">
        <f t="shared" si="21"/>
        <v>1195822.9644513642</v>
      </c>
      <c r="BD37" s="5">
        <f t="shared" si="22"/>
        <v>101540.0552270983</v>
      </c>
      <c r="BE37" s="5">
        <f t="shared" si="23"/>
        <v>1297363.0196784625</v>
      </c>
      <c r="BF37" s="5">
        <f t="shared" si="24"/>
        <v>121299.69833281408</v>
      </c>
      <c r="BH37" s="5">
        <f t="shared" si="25"/>
        <v>151429.16419954746</v>
      </c>
      <c r="BI37" s="5">
        <f t="shared" si="26"/>
        <v>12858.195696944029</v>
      </c>
      <c r="BJ37" s="5">
        <f t="shared" si="27"/>
        <v>164287.35989649149</v>
      </c>
      <c r="BK37" s="5">
        <f t="shared" si="28"/>
        <v>15360.394040118252</v>
      </c>
      <c r="BM37" s="5">
        <f t="shared" si="29"/>
        <v>1657.7117425376248</v>
      </c>
      <c r="BN37" s="5">
        <f t="shared" si="30"/>
        <v>140.7600848049492</v>
      </c>
      <c r="BO37" s="5">
        <f t="shared" si="31"/>
        <v>1798.471827342574</v>
      </c>
      <c r="BP37" s="5">
        <f t="shared" si="32"/>
        <v>168.15192571990087</v>
      </c>
      <c r="BR37" s="5">
        <f t="shared" si="33"/>
        <v>2631.9784168325928</v>
      </c>
      <c r="BS37" s="5">
        <f t="shared" si="34"/>
        <v>223.48729013104821</v>
      </c>
      <c r="BT37" s="5">
        <f t="shared" si="35"/>
        <v>2855.465706963641</v>
      </c>
      <c r="BU37" s="5">
        <f t="shared" si="36"/>
        <v>266.9778031288642</v>
      </c>
      <c r="BW37" s="5">
        <f t="shared" si="37"/>
        <v>156147.64296046016</v>
      </c>
      <c r="BX37" s="5">
        <f t="shared" si="38"/>
        <v>13258.852489975914</v>
      </c>
      <c r="BY37" s="5">
        <f t="shared" si="39"/>
        <v>169406.49545043608</v>
      </c>
      <c r="BZ37" s="5">
        <f t="shared" si="40"/>
        <v>15839.018441307178</v>
      </c>
      <c r="CB37" s="5">
        <f t="shared" si="41"/>
        <v>801.43039516626436</v>
      </c>
      <c r="CC37" s="5">
        <f t="shared" si="42"/>
        <v>68.051282677275779</v>
      </c>
      <c r="CD37" s="5">
        <f t="shared" si="43"/>
        <v>869.48167784354018</v>
      </c>
      <c r="CE37" s="5">
        <f t="shared" si="44"/>
        <v>81.29402767659397</v>
      </c>
      <c r="CG37" s="5">
        <f t="shared" si="45"/>
        <v>34408.172272373929</v>
      </c>
      <c r="CH37" s="5">
        <f t="shared" si="46"/>
        <v>2921.6763824261375</v>
      </c>
      <c r="CI37" s="5">
        <f t="shared" si="47"/>
        <v>37329.848654800066</v>
      </c>
      <c r="CJ37" s="5">
        <f t="shared" si="48"/>
        <v>3490.2331205332912</v>
      </c>
      <c r="CL37" s="5">
        <f t="shared" si="49"/>
        <v>39699.945826979929</v>
      </c>
      <c r="CM37" s="5">
        <f t="shared" si="50"/>
        <v>3371.0129439049624</v>
      </c>
      <c r="CN37" s="5">
        <f t="shared" si="51"/>
        <v>43070.958770884892</v>
      </c>
      <c r="CO37" s="5">
        <f t="shared" si="52"/>
        <v>4027.0103483512617</v>
      </c>
      <c r="CQ37" s="5">
        <f t="shared" si="53"/>
        <v>406242.52642717568</v>
      </c>
      <c r="CR37" s="5">
        <f t="shared" si="54"/>
        <v>34494.979436974216</v>
      </c>
      <c r="CS37" s="5">
        <f t="shared" si="55"/>
        <v>440737.50586414989</v>
      </c>
      <c r="CT37" s="5">
        <f t="shared" si="56"/>
        <v>41207.684891872494</v>
      </c>
      <c r="CV37" s="5">
        <f t="shared" si="57"/>
        <v>368507.60462674469</v>
      </c>
      <c r="CW37" s="5">
        <f t="shared" si="58"/>
        <v>31290.821164797268</v>
      </c>
      <c r="CX37" s="5">
        <f t="shared" si="59"/>
        <v>399798.42579154199</v>
      </c>
      <c r="CY37" s="5">
        <f t="shared" si="60"/>
        <v>37379.99904950818</v>
      </c>
      <c r="DA37" s="5">
        <f t="shared" si="61"/>
        <v>36712.896343503926</v>
      </c>
      <c r="DB37" s="5">
        <f t="shared" si="62"/>
        <v>3117.3757596940177</v>
      </c>
      <c r="DC37" s="5">
        <f t="shared" si="63"/>
        <v>39830.272103197945</v>
      </c>
      <c r="DD37" s="5">
        <f t="shared" si="64"/>
        <v>3724.0154970882563</v>
      </c>
      <c r="DF37" s="5">
        <f t="shared" si="65"/>
        <v>1270990.988429364</v>
      </c>
      <c r="DG37" s="5">
        <f t="shared" si="66"/>
        <v>107922.74357891442</v>
      </c>
      <c r="DH37" s="5">
        <f t="shared" si="67"/>
        <v>1378913.7320082784</v>
      </c>
      <c r="DI37" s="5">
        <f t="shared" si="68"/>
        <v>128924.45459177114</v>
      </c>
      <c r="DK37" s="5">
        <f t="shared" si="69"/>
        <v>2627618.0390642807</v>
      </c>
      <c r="DL37" s="5">
        <f t="shared" si="70"/>
        <v>223117.04051001964</v>
      </c>
      <c r="DM37" s="5">
        <f t="shared" si="71"/>
        <v>2850735.0795743004</v>
      </c>
      <c r="DN37" s="5">
        <f t="shared" si="72"/>
        <v>266535.50311988586</v>
      </c>
      <c r="DP37" s="5">
        <f t="shared" si="73"/>
        <v>515.4393045537937</v>
      </c>
      <c r="DQ37" s="5">
        <f t="shared" si="74"/>
        <v>43.767126912988793</v>
      </c>
      <c r="DR37" s="5">
        <f t="shared" si="75"/>
        <v>559.20643146678253</v>
      </c>
      <c r="DS37" s="5">
        <f t="shared" si="76"/>
        <v>52.284187551069174</v>
      </c>
      <c r="DU37" s="5">
        <f t="shared" si="77"/>
        <v>0</v>
      </c>
      <c r="DV37" s="5">
        <f t="shared" si="78"/>
        <v>0</v>
      </c>
      <c r="DW37" s="5">
        <f t="shared" si="79"/>
        <v>0</v>
      </c>
      <c r="DX37" s="5">
        <f t="shared" si="80"/>
        <v>0</v>
      </c>
      <c r="ED37" s="5"/>
      <c r="EE37" s="5"/>
      <c r="EF37" s="5"/>
      <c r="EG37" s="5"/>
      <c r="EH37" s="5"/>
      <c r="EI37" s="5"/>
    </row>
    <row r="38" spans="1:139" ht="12" customHeight="1" x14ac:dyDescent="0.2">
      <c r="A38" s="28">
        <v>14154</v>
      </c>
      <c r="D38" s="3">
        <v>1298700</v>
      </c>
      <c r="E38" s="3">
        <v>285756</v>
      </c>
      <c r="G38" s="3">
        <v>481000</v>
      </c>
      <c r="H38" s="3">
        <v>751642</v>
      </c>
      <c r="P38" s="3">
        <f t="shared" si="0"/>
        <v>1779700</v>
      </c>
      <c r="Q38" s="3">
        <f t="shared" si="1"/>
        <v>1779700</v>
      </c>
      <c r="R38" s="3">
        <f t="shared" si="2"/>
        <v>1037398</v>
      </c>
      <c r="T38" s="3"/>
      <c r="U38" s="3"/>
      <c r="W38" s="3"/>
      <c r="Z38" s="5">
        <f t="shared" si="4"/>
        <v>1298700</v>
      </c>
      <c r="AA38" s="5">
        <f t="shared" si="5"/>
        <v>1298700</v>
      </c>
      <c r="AB38" s="5">
        <f t="shared" si="4"/>
        <v>285756</v>
      </c>
      <c r="AD38" s="5"/>
      <c r="AE38" s="5">
        <f t="shared" si="82"/>
        <v>215340.82362000001</v>
      </c>
      <c r="AF38" s="5">
        <f t="shared" si="7"/>
        <v>215340.82362000001</v>
      </c>
      <c r="AG38" s="5">
        <f t="shared" si="8"/>
        <v>47381.945325599998</v>
      </c>
      <c r="AJ38" s="5">
        <f t="shared" si="83"/>
        <v>1083359.1763800001</v>
      </c>
      <c r="AK38" s="5">
        <f t="shared" si="10"/>
        <v>1083359.1763800001</v>
      </c>
      <c r="AL38" s="5">
        <f t="shared" si="11"/>
        <v>238374.05467440002</v>
      </c>
      <c r="AN38" s="5">
        <f>'20-Yrs Acad Revised'!H37</f>
        <v>0</v>
      </c>
      <c r="AO38" s="5">
        <f>'20-Yrs Acad Revised'!I37</f>
        <v>46917.029819699244</v>
      </c>
      <c r="AP38" s="5">
        <f t="shared" si="12"/>
        <v>46917.029819699244</v>
      </c>
      <c r="AQ38" s="5">
        <f>'20-Yrs Acad Revised'!K37</f>
        <v>73315.613571181675</v>
      </c>
      <c r="AS38" s="3">
        <f t="shared" si="13"/>
        <v>0</v>
      </c>
      <c r="AT38" s="3">
        <f t="shared" si="14"/>
        <v>434082.97018030076</v>
      </c>
      <c r="AU38" s="5">
        <f t="shared" si="15"/>
        <v>434082.97018030076</v>
      </c>
      <c r="AV38" s="3">
        <f t="shared" si="16"/>
        <v>678326.38642881834</v>
      </c>
      <c r="AX38" s="5">
        <f t="shared" si="17"/>
        <v>0</v>
      </c>
      <c r="AY38" s="5">
        <f t="shared" si="18"/>
        <v>25577.881294243354</v>
      </c>
      <c r="AZ38" s="5">
        <f t="shared" si="19"/>
        <v>25577.881294243354</v>
      </c>
      <c r="BA38" s="5">
        <f t="shared" si="20"/>
        <v>39969.667051492019</v>
      </c>
      <c r="BC38" s="5">
        <f t="shared" si="21"/>
        <v>0</v>
      </c>
      <c r="BD38" s="5">
        <f t="shared" si="22"/>
        <v>77623.595938071012</v>
      </c>
      <c r="BE38" s="5">
        <f t="shared" si="23"/>
        <v>77623.595938071012</v>
      </c>
      <c r="BF38" s="5">
        <f t="shared" si="24"/>
        <v>121299.69833281408</v>
      </c>
      <c r="BH38" s="5">
        <f t="shared" si="25"/>
        <v>0</v>
      </c>
      <c r="BI38" s="5">
        <f t="shared" si="26"/>
        <v>9829.6124129530799</v>
      </c>
      <c r="BJ38" s="5">
        <f t="shared" si="27"/>
        <v>9829.6124129530799</v>
      </c>
      <c r="BK38" s="5">
        <f t="shared" si="28"/>
        <v>15360.394040118252</v>
      </c>
      <c r="BM38" s="5">
        <f t="shared" si="29"/>
        <v>0</v>
      </c>
      <c r="BN38" s="5">
        <f t="shared" si="30"/>
        <v>107.6058499541967</v>
      </c>
      <c r="BO38" s="5">
        <f t="shared" si="31"/>
        <v>107.6058499541967</v>
      </c>
      <c r="BP38" s="5">
        <f t="shared" si="32"/>
        <v>168.15192571990087</v>
      </c>
      <c r="BR38" s="5">
        <f t="shared" si="33"/>
        <v>0</v>
      </c>
      <c r="BS38" s="5">
        <f t="shared" si="34"/>
        <v>170.84772179439636</v>
      </c>
      <c r="BT38" s="5">
        <f t="shared" si="35"/>
        <v>170.84772179439636</v>
      </c>
      <c r="BU38" s="5">
        <f t="shared" si="36"/>
        <v>266.9778031288642</v>
      </c>
      <c r="BW38" s="5">
        <f t="shared" si="37"/>
        <v>0</v>
      </c>
      <c r="BX38" s="5">
        <f t="shared" si="38"/>
        <v>10135.899630766711</v>
      </c>
      <c r="BY38" s="5">
        <f t="shared" si="39"/>
        <v>10135.899630766711</v>
      </c>
      <c r="BZ38" s="5">
        <f t="shared" si="40"/>
        <v>15839.018441307178</v>
      </c>
      <c r="CB38" s="5">
        <f t="shared" si="41"/>
        <v>0</v>
      </c>
      <c r="CC38" s="5">
        <f t="shared" si="42"/>
        <v>52.022674773950499</v>
      </c>
      <c r="CD38" s="5">
        <f t="shared" si="43"/>
        <v>52.022674773950499</v>
      </c>
      <c r="CE38" s="5">
        <f t="shared" si="44"/>
        <v>81.29402767659397</v>
      </c>
      <c r="CG38" s="5">
        <f t="shared" si="45"/>
        <v>0</v>
      </c>
      <c r="CH38" s="5">
        <f t="shared" si="46"/>
        <v>2233.5129369786587</v>
      </c>
      <c r="CI38" s="5">
        <f t="shared" si="47"/>
        <v>2233.5129369786587</v>
      </c>
      <c r="CJ38" s="5">
        <f t="shared" si="48"/>
        <v>3490.2331205332912</v>
      </c>
      <c r="CL38" s="5">
        <f t="shared" si="49"/>
        <v>0</v>
      </c>
      <c r="CM38" s="5">
        <f t="shared" si="50"/>
        <v>2577.0140273653637</v>
      </c>
      <c r="CN38" s="5">
        <f t="shared" si="51"/>
        <v>2577.0140273653637</v>
      </c>
      <c r="CO38" s="5">
        <f t="shared" si="52"/>
        <v>4027.0103483512617</v>
      </c>
      <c r="CQ38" s="5">
        <f t="shared" si="53"/>
        <v>0</v>
      </c>
      <c r="CR38" s="5">
        <f t="shared" si="54"/>
        <v>26370.128908430703</v>
      </c>
      <c r="CS38" s="5">
        <f t="shared" si="55"/>
        <v>26370.128908430703</v>
      </c>
      <c r="CT38" s="5">
        <f t="shared" si="56"/>
        <v>41207.684891872494</v>
      </c>
      <c r="CV38" s="5">
        <f t="shared" si="57"/>
        <v>0</v>
      </c>
      <c r="CW38" s="5">
        <f t="shared" si="58"/>
        <v>23920.669072262375</v>
      </c>
      <c r="CX38" s="5">
        <f t="shared" si="59"/>
        <v>23920.669072262375</v>
      </c>
      <c r="CY38" s="5">
        <f t="shared" si="60"/>
        <v>37379.99904950818</v>
      </c>
      <c r="DA38" s="5">
        <f t="shared" si="61"/>
        <v>0</v>
      </c>
      <c r="DB38" s="5">
        <f t="shared" si="62"/>
        <v>2383.1178328239394</v>
      </c>
      <c r="DC38" s="5">
        <f t="shared" si="63"/>
        <v>2383.1178328239394</v>
      </c>
      <c r="DD38" s="5">
        <f t="shared" si="64"/>
        <v>3724.0154970882563</v>
      </c>
      <c r="DF38" s="5">
        <f t="shared" si="65"/>
        <v>0</v>
      </c>
      <c r="DG38" s="5">
        <f t="shared" si="66"/>
        <v>82502.923810327149</v>
      </c>
      <c r="DH38" s="5">
        <f t="shared" si="67"/>
        <v>82502.923810327149</v>
      </c>
      <c r="DI38" s="5">
        <f t="shared" si="68"/>
        <v>128924.45459177114</v>
      </c>
      <c r="DK38" s="5">
        <f t="shared" si="69"/>
        <v>0</v>
      </c>
      <c r="DL38" s="5">
        <f t="shared" si="70"/>
        <v>170564.67972873402</v>
      </c>
      <c r="DM38" s="5">
        <f t="shared" si="71"/>
        <v>170564.67972873402</v>
      </c>
      <c r="DN38" s="5">
        <f t="shared" si="72"/>
        <v>266535.50311988586</v>
      </c>
      <c r="DP38" s="5">
        <f t="shared" si="73"/>
        <v>0</v>
      </c>
      <c r="DQ38" s="5">
        <f t="shared" si="74"/>
        <v>33.45834082191292</v>
      </c>
      <c r="DR38" s="5">
        <f t="shared" si="75"/>
        <v>33.45834082191292</v>
      </c>
      <c r="DS38" s="5">
        <f t="shared" si="76"/>
        <v>52.284187551069174</v>
      </c>
      <c r="DU38" s="5">
        <f t="shared" si="77"/>
        <v>0</v>
      </c>
      <c r="DV38" s="5">
        <f t="shared" si="78"/>
        <v>0</v>
      </c>
      <c r="DW38" s="5">
        <f t="shared" si="79"/>
        <v>0</v>
      </c>
      <c r="DX38" s="5">
        <f t="shared" si="80"/>
        <v>0</v>
      </c>
      <c r="ED38" s="5"/>
      <c r="EE38" s="5"/>
      <c r="EF38" s="5"/>
      <c r="EG38" s="5"/>
      <c r="EH38" s="5"/>
      <c r="EI38" s="5"/>
    </row>
    <row r="39" spans="1:139" ht="12" customHeight="1" x14ac:dyDescent="0.2">
      <c r="A39" s="28">
        <v>14336</v>
      </c>
      <c r="C39" s="3">
        <v>0</v>
      </c>
      <c r="D39" s="3">
        <v>1298700</v>
      </c>
      <c r="E39" s="3">
        <v>285756</v>
      </c>
      <c r="F39" s="3">
        <v>7705000</v>
      </c>
      <c r="G39" s="3">
        <v>481000</v>
      </c>
      <c r="H39" s="3">
        <v>751642</v>
      </c>
      <c r="O39" s="3">
        <f t="shared" si="81"/>
        <v>7705000</v>
      </c>
      <c r="P39" s="3">
        <f t="shared" si="0"/>
        <v>1779700</v>
      </c>
      <c r="Q39" s="3">
        <f t="shared" si="1"/>
        <v>9484700</v>
      </c>
      <c r="R39" s="3">
        <f t="shared" si="2"/>
        <v>1037398</v>
      </c>
      <c r="T39" s="3"/>
      <c r="U39" s="3"/>
      <c r="W39" s="3"/>
      <c r="Y39" s="5">
        <f>AD39+AI39</f>
        <v>0</v>
      </c>
      <c r="Z39" s="5">
        <f t="shared" si="4"/>
        <v>1298700</v>
      </c>
      <c r="AA39" s="5">
        <f t="shared" si="5"/>
        <v>1298700</v>
      </c>
      <c r="AB39" s="5">
        <f t="shared" si="4"/>
        <v>285756</v>
      </c>
      <c r="AD39" s="5">
        <f>C39*$AE$7</f>
        <v>0</v>
      </c>
      <c r="AE39" s="5">
        <f t="shared" si="82"/>
        <v>215340.82362000001</v>
      </c>
      <c r="AF39" s="5">
        <f t="shared" si="7"/>
        <v>215340.82362000001</v>
      </c>
      <c r="AG39" s="5">
        <f t="shared" si="8"/>
        <v>47381.945325599998</v>
      </c>
      <c r="AI39" s="5">
        <f>C39*$AJ$7</f>
        <v>0</v>
      </c>
      <c r="AJ39" s="5">
        <f t="shared" si="83"/>
        <v>1083359.1763800001</v>
      </c>
      <c r="AK39" s="5">
        <f t="shared" si="10"/>
        <v>1083359.1763800001</v>
      </c>
      <c r="AL39" s="5">
        <f t="shared" si="11"/>
        <v>238374.05467440002</v>
      </c>
      <c r="AN39" s="5">
        <f>'20-Yrs Acad Revised'!H38</f>
        <v>751550.34253800975</v>
      </c>
      <c r="AO39" s="5">
        <f>'20-Yrs Acad Revised'!I38</f>
        <v>46917.029819699244</v>
      </c>
      <c r="AP39" s="5">
        <f t="shared" si="12"/>
        <v>798467.37235770898</v>
      </c>
      <c r="AQ39" s="5">
        <f>'20-Yrs Acad Revised'!K38</f>
        <v>73315.613571181675</v>
      </c>
      <c r="AS39" s="3">
        <f t="shared" si="13"/>
        <v>6953449.6574619897</v>
      </c>
      <c r="AT39" s="3">
        <f t="shared" si="14"/>
        <v>434082.97018030076</v>
      </c>
      <c r="AU39" s="5">
        <f t="shared" si="15"/>
        <v>7387532.6276422907</v>
      </c>
      <c r="AV39" s="3">
        <f t="shared" si="16"/>
        <v>678326.38642881834</v>
      </c>
      <c r="AX39" s="5">
        <f t="shared" si="17"/>
        <v>409724.68892337848</v>
      </c>
      <c r="AY39" s="5">
        <f t="shared" si="18"/>
        <v>25577.881294243354</v>
      </c>
      <c r="AZ39" s="5">
        <f t="shared" si="19"/>
        <v>435302.5702176218</v>
      </c>
      <c r="BA39" s="5">
        <f t="shared" si="20"/>
        <v>39969.667051492019</v>
      </c>
      <c r="BC39" s="5">
        <f t="shared" si="21"/>
        <v>1243429.9515651499</v>
      </c>
      <c r="BD39" s="5">
        <f t="shared" si="22"/>
        <v>77623.595938071012</v>
      </c>
      <c r="BE39" s="5">
        <f t="shared" si="23"/>
        <v>1321053.5475032208</v>
      </c>
      <c r="BF39" s="5">
        <f t="shared" si="24"/>
        <v>121299.69833281408</v>
      </c>
      <c r="BH39" s="5">
        <f t="shared" si="25"/>
        <v>157457.72066903012</v>
      </c>
      <c r="BI39" s="5">
        <f t="shared" si="26"/>
        <v>9829.6124129530799</v>
      </c>
      <c r="BJ39" s="5">
        <f t="shared" si="27"/>
        <v>167287.3330819832</v>
      </c>
      <c r="BK39" s="5">
        <f t="shared" si="28"/>
        <v>15360.394040118252</v>
      </c>
      <c r="BM39" s="5">
        <f t="shared" si="29"/>
        <v>1723.7070143390551</v>
      </c>
      <c r="BN39" s="5">
        <f t="shared" si="30"/>
        <v>107.6058499541967</v>
      </c>
      <c r="BO39" s="5">
        <f t="shared" si="31"/>
        <v>1831.3128642932518</v>
      </c>
      <c r="BP39" s="5">
        <f t="shared" si="32"/>
        <v>168.15192571990087</v>
      </c>
      <c r="BR39" s="5">
        <f t="shared" si="33"/>
        <v>2736.7602836295719</v>
      </c>
      <c r="BS39" s="5">
        <f t="shared" si="34"/>
        <v>170.84772179439636</v>
      </c>
      <c r="BT39" s="5">
        <f t="shared" si="35"/>
        <v>2907.6080054239683</v>
      </c>
      <c r="BU39" s="5">
        <f t="shared" si="36"/>
        <v>266.9778031288642</v>
      </c>
      <c r="BW39" s="5">
        <f t="shared" si="37"/>
        <v>162364.04709991167</v>
      </c>
      <c r="BX39" s="5">
        <f t="shared" si="38"/>
        <v>10135.899630766711</v>
      </c>
      <c r="BY39" s="5">
        <f t="shared" si="39"/>
        <v>172499.94673067838</v>
      </c>
      <c r="BZ39" s="5">
        <f t="shared" si="40"/>
        <v>15839.018441307178</v>
      </c>
      <c r="CB39" s="5">
        <f t="shared" si="41"/>
        <v>833.33619362430056</v>
      </c>
      <c r="CC39" s="5">
        <f t="shared" si="42"/>
        <v>52.022674773950499</v>
      </c>
      <c r="CD39" s="5">
        <f t="shared" si="43"/>
        <v>885.35886839825105</v>
      </c>
      <c r="CE39" s="5">
        <f t="shared" si="44"/>
        <v>81.29402767659397</v>
      </c>
      <c r="CG39" s="5">
        <f t="shared" si="45"/>
        <v>35777.998294013647</v>
      </c>
      <c r="CH39" s="5">
        <f t="shared" si="46"/>
        <v>2233.5129369786587</v>
      </c>
      <c r="CI39" s="5">
        <f t="shared" si="47"/>
        <v>38011.511230992306</v>
      </c>
      <c r="CJ39" s="5">
        <f t="shared" si="48"/>
        <v>3490.2331205332912</v>
      </c>
      <c r="CL39" s="5">
        <f t="shared" si="49"/>
        <v>41280.442995530415</v>
      </c>
      <c r="CM39" s="5">
        <f t="shared" si="50"/>
        <v>2577.0140273653637</v>
      </c>
      <c r="CN39" s="5">
        <f t="shared" si="51"/>
        <v>43857.457022895782</v>
      </c>
      <c r="CO39" s="5">
        <f t="shared" si="52"/>
        <v>4027.0103483512617</v>
      </c>
      <c r="CQ39" s="5">
        <f t="shared" si="53"/>
        <v>422415.47451030888</v>
      </c>
      <c r="CR39" s="5">
        <f t="shared" si="54"/>
        <v>26370.128908430703</v>
      </c>
      <c r="CS39" s="5">
        <f t="shared" si="55"/>
        <v>448785.60341873957</v>
      </c>
      <c r="CT39" s="5">
        <f t="shared" si="56"/>
        <v>41207.684891872494</v>
      </c>
      <c r="CV39" s="5">
        <f t="shared" si="57"/>
        <v>383178.28524278919</v>
      </c>
      <c r="CW39" s="5">
        <f t="shared" si="58"/>
        <v>23920.669072262375</v>
      </c>
      <c r="CX39" s="5">
        <f t="shared" si="59"/>
        <v>407098.95431505155</v>
      </c>
      <c r="CY39" s="5">
        <f t="shared" si="60"/>
        <v>37379.99904950818</v>
      </c>
      <c r="DA39" s="5">
        <f t="shared" si="61"/>
        <v>38174.475887543558</v>
      </c>
      <c r="DB39" s="5">
        <f t="shared" si="62"/>
        <v>2383.1178328239394</v>
      </c>
      <c r="DC39" s="5">
        <f t="shared" si="63"/>
        <v>40557.593720367498</v>
      </c>
      <c r="DD39" s="5">
        <f t="shared" si="64"/>
        <v>3724.0154970882563</v>
      </c>
      <c r="DF39" s="5">
        <f t="shared" si="65"/>
        <v>1321590.494716363</v>
      </c>
      <c r="DG39" s="5">
        <f t="shared" si="66"/>
        <v>82502.923810327149</v>
      </c>
      <c r="DH39" s="5">
        <f t="shared" si="67"/>
        <v>1404093.4185266902</v>
      </c>
      <c r="DI39" s="5">
        <f t="shared" si="68"/>
        <v>128924.45459177114</v>
      </c>
      <c r="DK39" s="5">
        <f t="shared" si="69"/>
        <v>2732226.3145735874</v>
      </c>
      <c r="DL39" s="5">
        <f t="shared" si="70"/>
        <v>170564.67972873402</v>
      </c>
      <c r="DM39" s="5">
        <f t="shared" si="71"/>
        <v>2902790.9943023212</v>
      </c>
      <c r="DN39" s="5">
        <f t="shared" si="72"/>
        <v>266535.50311988586</v>
      </c>
      <c r="DP39" s="5">
        <f t="shared" si="73"/>
        <v>535.95949279176523</v>
      </c>
      <c r="DQ39" s="5">
        <f t="shared" si="74"/>
        <v>33.45834082191292</v>
      </c>
      <c r="DR39" s="5">
        <f t="shared" si="75"/>
        <v>569.41783361367811</v>
      </c>
      <c r="DS39" s="5">
        <f t="shared" si="76"/>
        <v>52.284187551069174</v>
      </c>
      <c r="DU39" s="5">
        <f t="shared" si="77"/>
        <v>0</v>
      </c>
      <c r="DV39" s="5">
        <f t="shared" si="78"/>
        <v>0</v>
      </c>
      <c r="DW39" s="5">
        <f t="shared" si="79"/>
        <v>0</v>
      </c>
      <c r="DX39" s="5">
        <f t="shared" si="80"/>
        <v>0</v>
      </c>
      <c r="ED39" s="5"/>
      <c r="EE39" s="5"/>
      <c r="EF39" s="5"/>
      <c r="EG39" s="5"/>
      <c r="EH39" s="5"/>
      <c r="EI39" s="5"/>
    </row>
    <row r="40" spans="1:139" ht="12" customHeight="1" x14ac:dyDescent="0.2">
      <c r="A40" s="28">
        <v>14519</v>
      </c>
      <c r="D40" s="3">
        <v>1298700</v>
      </c>
      <c r="E40" s="3">
        <v>285756</v>
      </c>
      <c r="G40" s="3">
        <v>326900</v>
      </c>
      <c r="H40" s="3">
        <v>751642</v>
      </c>
      <c r="P40" s="3">
        <f t="shared" si="0"/>
        <v>1625600</v>
      </c>
      <c r="Q40" s="3">
        <f t="shared" si="1"/>
        <v>1625600</v>
      </c>
      <c r="R40" s="3">
        <f t="shared" si="2"/>
        <v>1037398</v>
      </c>
      <c r="T40" s="3"/>
      <c r="U40" s="3"/>
      <c r="W40" s="3"/>
      <c r="Z40" s="5">
        <f t="shared" si="4"/>
        <v>1298700</v>
      </c>
      <c r="AA40" s="5">
        <f t="shared" si="5"/>
        <v>1298700</v>
      </c>
      <c r="AB40" s="5">
        <f t="shared" si="4"/>
        <v>285756</v>
      </c>
      <c r="AD40" s="5"/>
      <c r="AE40" s="5">
        <f t="shared" si="82"/>
        <v>215340.82362000001</v>
      </c>
      <c r="AF40" s="5">
        <f t="shared" si="7"/>
        <v>215340.82362000001</v>
      </c>
      <c r="AG40" s="5">
        <f t="shared" si="8"/>
        <v>47381.945325599998</v>
      </c>
      <c r="AJ40" s="5">
        <f t="shared" si="83"/>
        <v>1083359.1763800001</v>
      </c>
      <c r="AK40" s="5">
        <f t="shared" si="10"/>
        <v>1083359.1763800001</v>
      </c>
      <c r="AL40" s="5">
        <f t="shared" si="11"/>
        <v>238374.05467440002</v>
      </c>
      <c r="AN40" s="5">
        <f>'20-Yrs Acad Revised'!H39</f>
        <v>0</v>
      </c>
      <c r="AO40" s="5">
        <f>'20-Yrs Acad Revised'!I39</f>
        <v>31886.022968939051</v>
      </c>
      <c r="AP40" s="5">
        <f t="shared" si="12"/>
        <v>31886.022968939051</v>
      </c>
      <c r="AQ40" s="5">
        <f>'20-Yrs Acad Revised'!K39</f>
        <v>73315.613571181675</v>
      </c>
      <c r="AS40" s="3">
        <f t="shared" si="13"/>
        <v>0</v>
      </c>
      <c r="AT40" s="3">
        <f t="shared" si="14"/>
        <v>295013.97703106102</v>
      </c>
      <c r="AU40" s="5">
        <f t="shared" si="15"/>
        <v>295013.97703106102</v>
      </c>
      <c r="AV40" s="3">
        <f t="shared" si="16"/>
        <v>678326.38642881834</v>
      </c>
      <c r="AX40" s="5">
        <f t="shared" si="17"/>
        <v>0</v>
      </c>
      <c r="AY40" s="5">
        <f t="shared" si="18"/>
        <v>17383.387515775783</v>
      </c>
      <c r="AZ40" s="5">
        <f t="shared" si="19"/>
        <v>17383.387515775783</v>
      </c>
      <c r="BA40" s="5">
        <f t="shared" si="20"/>
        <v>39969.667051492019</v>
      </c>
      <c r="BC40" s="5">
        <f t="shared" si="21"/>
        <v>0</v>
      </c>
      <c r="BD40" s="5">
        <f t="shared" si="22"/>
        <v>52754.996906768014</v>
      </c>
      <c r="BE40" s="5">
        <f t="shared" si="23"/>
        <v>52754.996906768014</v>
      </c>
      <c r="BF40" s="5">
        <f t="shared" si="24"/>
        <v>121299.69833281408</v>
      </c>
      <c r="BH40" s="5">
        <f t="shared" si="25"/>
        <v>0</v>
      </c>
      <c r="BI40" s="5">
        <f t="shared" si="26"/>
        <v>6680.457999572478</v>
      </c>
      <c r="BJ40" s="5">
        <f t="shared" si="27"/>
        <v>6680.457999572478</v>
      </c>
      <c r="BK40" s="5">
        <f t="shared" si="28"/>
        <v>15360.394040118252</v>
      </c>
      <c r="BM40" s="5">
        <f t="shared" si="29"/>
        <v>0</v>
      </c>
      <c r="BN40" s="5">
        <f t="shared" si="30"/>
        <v>73.131709667415592</v>
      </c>
      <c r="BO40" s="5">
        <f t="shared" si="31"/>
        <v>73.131709667415592</v>
      </c>
      <c r="BP40" s="5">
        <f t="shared" si="32"/>
        <v>168.15192571990087</v>
      </c>
      <c r="BR40" s="5">
        <f t="shared" si="33"/>
        <v>0</v>
      </c>
      <c r="BS40" s="5">
        <f t="shared" si="34"/>
        <v>116.11251612180493</v>
      </c>
      <c r="BT40" s="5">
        <f t="shared" si="35"/>
        <v>116.11251612180493</v>
      </c>
      <c r="BU40" s="5">
        <f t="shared" si="36"/>
        <v>266.9778031288642</v>
      </c>
      <c r="BW40" s="5">
        <f t="shared" si="37"/>
        <v>0</v>
      </c>
      <c r="BX40" s="5">
        <f t="shared" si="38"/>
        <v>6888.618688768478</v>
      </c>
      <c r="BY40" s="5">
        <f t="shared" si="39"/>
        <v>6888.618688768478</v>
      </c>
      <c r="BZ40" s="5">
        <f t="shared" si="40"/>
        <v>15839.018441307178</v>
      </c>
      <c r="CB40" s="5">
        <f t="shared" si="41"/>
        <v>0</v>
      </c>
      <c r="CC40" s="5">
        <f t="shared" si="42"/>
        <v>35.355950901464482</v>
      </c>
      <c r="CD40" s="5">
        <f t="shared" si="43"/>
        <v>35.355950901464482</v>
      </c>
      <c r="CE40" s="5">
        <f t="shared" si="44"/>
        <v>81.29402767659397</v>
      </c>
      <c r="CG40" s="5">
        <f t="shared" si="45"/>
        <v>0</v>
      </c>
      <c r="CH40" s="5">
        <f t="shared" si="46"/>
        <v>1517.9529710983857</v>
      </c>
      <c r="CI40" s="5">
        <f t="shared" si="47"/>
        <v>1517.9529710983857</v>
      </c>
      <c r="CJ40" s="5">
        <f t="shared" si="48"/>
        <v>3490.2331205332912</v>
      </c>
      <c r="CL40" s="5">
        <f t="shared" si="49"/>
        <v>0</v>
      </c>
      <c r="CM40" s="5">
        <f t="shared" si="50"/>
        <v>1751.4051674547557</v>
      </c>
      <c r="CN40" s="5">
        <f t="shared" si="51"/>
        <v>1751.4051674547557</v>
      </c>
      <c r="CO40" s="5">
        <f t="shared" si="52"/>
        <v>4027.0103483512617</v>
      </c>
      <c r="CQ40" s="5">
        <f t="shared" si="53"/>
        <v>0</v>
      </c>
      <c r="CR40" s="5">
        <f t="shared" si="54"/>
        <v>17921.819418224524</v>
      </c>
      <c r="CS40" s="5">
        <f t="shared" si="55"/>
        <v>17921.819418224524</v>
      </c>
      <c r="CT40" s="5">
        <f t="shared" si="56"/>
        <v>41207.684891872494</v>
      </c>
      <c r="CV40" s="5">
        <f t="shared" si="57"/>
        <v>0</v>
      </c>
      <c r="CW40" s="5">
        <f t="shared" si="58"/>
        <v>16257.103367406591</v>
      </c>
      <c r="CX40" s="5">
        <f t="shared" si="59"/>
        <v>16257.103367406591</v>
      </c>
      <c r="CY40" s="5">
        <f t="shared" si="60"/>
        <v>37379.99904950818</v>
      </c>
      <c r="DA40" s="5">
        <f t="shared" si="61"/>
        <v>0</v>
      </c>
      <c r="DB40" s="5">
        <f t="shared" si="62"/>
        <v>1619.6283150730681</v>
      </c>
      <c r="DC40" s="5">
        <f t="shared" si="63"/>
        <v>1619.6283150730681</v>
      </c>
      <c r="DD40" s="5">
        <f t="shared" si="64"/>
        <v>3724.0154970882563</v>
      </c>
      <c r="DF40" s="5">
        <f t="shared" si="65"/>
        <v>0</v>
      </c>
      <c r="DG40" s="5">
        <f t="shared" si="66"/>
        <v>56071.113915999886</v>
      </c>
      <c r="DH40" s="5">
        <f t="shared" si="67"/>
        <v>56071.113915999886</v>
      </c>
      <c r="DI40" s="5">
        <f t="shared" si="68"/>
        <v>128924.45459177114</v>
      </c>
      <c r="DK40" s="5">
        <f t="shared" si="69"/>
        <v>0</v>
      </c>
      <c r="DL40" s="5">
        <f t="shared" si="70"/>
        <v>115920.15343726227</v>
      </c>
      <c r="DM40" s="5">
        <f t="shared" si="71"/>
        <v>115920.15343726227</v>
      </c>
      <c r="DN40" s="5">
        <f t="shared" si="72"/>
        <v>266535.50311988586</v>
      </c>
      <c r="DP40" s="5">
        <f t="shared" si="73"/>
        <v>0</v>
      </c>
      <c r="DQ40" s="5">
        <f t="shared" si="74"/>
        <v>22.739150966077617</v>
      </c>
      <c r="DR40" s="5">
        <f t="shared" si="75"/>
        <v>22.739150966077617</v>
      </c>
      <c r="DS40" s="5">
        <f t="shared" si="76"/>
        <v>52.284187551069174</v>
      </c>
      <c r="DU40" s="5">
        <f t="shared" si="77"/>
        <v>0</v>
      </c>
      <c r="DV40" s="5">
        <f t="shared" si="78"/>
        <v>0</v>
      </c>
      <c r="DW40" s="5">
        <f t="shared" si="79"/>
        <v>0</v>
      </c>
      <c r="DX40" s="5">
        <f t="shared" si="80"/>
        <v>0</v>
      </c>
      <c r="ED40" s="5"/>
      <c r="EE40" s="5"/>
      <c r="EF40" s="5"/>
      <c r="EG40" s="5"/>
      <c r="EH40" s="5"/>
      <c r="EI40" s="5"/>
    </row>
    <row r="41" spans="1:139" ht="12" customHeight="1" x14ac:dyDescent="0.2">
      <c r="A41" s="28">
        <v>14702</v>
      </c>
      <c r="C41" s="3">
        <v>0</v>
      </c>
      <c r="D41" s="3">
        <v>1298700</v>
      </c>
      <c r="E41" s="3">
        <v>285756</v>
      </c>
      <c r="F41" s="3">
        <v>8010000</v>
      </c>
      <c r="G41" s="3">
        <v>326900</v>
      </c>
      <c r="H41" s="3">
        <v>751642</v>
      </c>
      <c r="O41" s="3">
        <f t="shared" si="81"/>
        <v>8010000</v>
      </c>
      <c r="P41" s="3">
        <f t="shared" si="0"/>
        <v>1625600</v>
      </c>
      <c r="Q41" s="3">
        <f t="shared" si="1"/>
        <v>9635600</v>
      </c>
      <c r="R41" s="3">
        <f t="shared" si="2"/>
        <v>1037398</v>
      </c>
      <c r="T41" s="3"/>
      <c r="U41" s="3"/>
      <c r="W41" s="3"/>
      <c r="Y41" s="5">
        <f>AD41+AI41</f>
        <v>0</v>
      </c>
      <c r="Z41" s="5">
        <f t="shared" si="4"/>
        <v>1298700</v>
      </c>
      <c r="AA41" s="5">
        <f t="shared" si="5"/>
        <v>1298700</v>
      </c>
      <c r="AB41" s="5">
        <f t="shared" si="4"/>
        <v>285756</v>
      </c>
      <c r="AD41" s="5">
        <f>C41*$AE$7</f>
        <v>0</v>
      </c>
      <c r="AE41" s="5">
        <f t="shared" si="82"/>
        <v>215340.82362000001</v>
      </c>
      <c r="AF41" s="5">
        <f t="shared" si="7"/>
        <v>215340.82362000001</v>
      </c>
      <c r="AG41" s="5">
        <f t="shared" si="8"/>
        <v>47381.945325599998</v>
      </c>
      <c r="AI41" s="5">
        <f>C41*$AJ$7</f>
        <v>0</v>
      </c>
      <c r="AJ41" s="5">
        <f t="shared" si="83"/>
        <v>1083359.1763800001</v>
      </c>
      <c r="AK41" s="5">
        <f t="shared" si="10"/>
        <v>1083359.1763800001</v>
      </c>
      <c r="AL41" s="5">
        <f t="shared" si="11"/>
        <v>238374.05467440002</v>
      </c>
      <c r="AN41" s="5">
        <f>'20-Yrs Acad Revised'!H40</f>
        <v>781300.22631141567</v>
      </c>
      <c r="AO41" s="5">
        <f>'20-Yrs Acad Revised'!I40</f>
        <v>31886.022968939051</v>
      </c>
      <c r="AP41" s="5">
        <f t="shared" si="12"/>
        <v>813186.24928035471</v>
      </c>
      <c r="AQ41" s="5">
        <f>'20-Yrs Acad Revised'!K40</f>
        <v>73315.613571181675</v>
      </c>
      <c r="AS41" s="3">
        <f t="shared" si="13"/>
        <v>7228699.7736885846</v>
      </c>
      <c r="AT41" s="3">
        <f t="shared" si="14"/>
        <v>295013.97703106102</v>
      </c>
      <c r="AU41" s="5">
        <f t="shared" si="15"/>
        <v>7523713.750719646</v>
      </c>
      <c r="AV41" s="3">
        <f t="shared" si="16"/>
        <v>678326.38642881834</v>
      </c>
      <c r="AX41" s="5">
        <f t="shared" si="17"/>
        <v>425943.51178147458</v>
      </c>
      <c r="AY41" s="5">
        <f t="shared" si="18"/>
        <v>17383.387515775783</v>
      </c>
      <c r="AZ41" s="5">
        <f t="shared" si="19"/>
        <v>443326.89929725038</v>
      </c>
      <c r="BA41" s="5">
        <f t="shared" si="20"/>
        <v>39969.667051492019</v>
      </c>
      <c r="BC41" s="5">
        <f t="shared" si="21"/>
        <v>1292650.7348522844</v>
      </c>
      <c r="BD41" s="5">
        <f t="shared" si="22"/>
        <v>52754.996906768014</v>
      </c>
      <c r="BE41" s="5">
        <f t="shared" si="23"/>
        <v>1345405.7317590525</v>
      </c>
      <c r="BF41" s="5">
        <f t="shared" si="24"/>
        <v>121299.69833281408</v>
      </c>
      <c r="BH41" s="5">
        <f t="shared" si="25"/>
        <v>163690.63498493592</v>
      </c>
      <c r="BI41" s="5">
        <f t="shared" si="26"/>
        <v>6680.457999572478</v>
      </c>
      <c r="BJ41" s="5">
        <f t="shared" si="27"/>
        <v>170371.0929845084</v>
      </c>
      <c r="BK41" s="5">
        <f t="shared" si="28"/>
        <v>15360.394040118252</v>
      </c>
      <c r="BM41" s="5">
        <f t="shared" si="29"/>
        <v>1791.9394139981612</v>
      </c>
      <c r="BN41" s="5">
        <f t="shared" si="30"/>
        <v>73.131709667415592</v>
      </c>
      <c r="BO41" s="5">
        <f t="shared" si="31"/>
        <v>1865.0711236655768</v>
      </c>
      <c r="BP41" s="5">
        <f t="shared" si="32"/>
        <v>168.15192571990087</v>
      </c>
      <c r="BR41" s="5">
        <f t="shared" si="33"/>
        <v>2845.0940781145841</v>
      </c>
      <c r="BS41" s="5">
        <f t="shared" si="34"/>
        <v>116.11251612180493</v>
      </c>
      <c r="BT41" s="5">
        <f t="shared" si="35"/>
        <v>2961.2065942363893</v>
      </c>
      <c r="BU41" s="5">
        <f t="shared" si="36"/>
        <v>266.9778031288642</v>
      </c>
      <c r="BW41" s="5">
        <f t="shared" si="37"/>
        <v>168791.17680341238</v>
      </c>
      <c r="BX41" s="5">
        <f t="shared" si="38"/>
        <v>6888.618688768478</v>
      </c>
      <c r="BY41" s="5">
        <f t="shared" si="39"/>
        <v>175679.79549218086</v>
      </c>
      <c r="BZ41" s="5">
        <f t="shared" si="40"/>
        <v>15839.018441307178</v>
      </c>
      <c r="CB41" s="5">
        <f t="shared" si="41"/>
        <v>866.32354457243969</v>
      </c>
      <c r="CC41" s="5">
        <f t="shared" si="42"/>
        <v>35.355950901464482</v>
      </c>
      <c r="CD41" s="5">
        <f t="shared" si="43"/>
        <v>901.67949547390413</v>
      </c>
      <c r="CE41" s="5">
        <f t="shared" si="44"/>
        <v>81.29402767659397</v>
      </c>
      <c r="CG41" s="5">
        <f t="shared" si="45"/>
        <v>37194.259096047936</v>
      </c>
      <c r="CH41" s="5">
        <f t="shared" si="46"/>
        <v>1517.9529710983857</v>
      </c>
      <c r="CI41" s="5">
        <f t="shared" si="47"/>
        <v>38712.21206714632</v>
      </c>
      <c r="CJ41" s="5">
        <f t="shared" si="48"/>
        <v>3490.2331205332912</v>
      </c>
      <c r="CL41" s="5">
        <f t="shared" si="49"/>
        <v>42914.516339285998</v>
      </c>
      <c r="CM41" s="5">
        <f t="shared" si="50"/>
        <v>1751.4051674547557</v>
      </c>
      <c r="CN41" s="5">
        <f t="shared" si="51"/>
        <v>44665.921506740757</v>
      </c>
      <c r="CO41" s="5">
        <f t="shared" si="52"/>
        <v>4027.0103483512617</v>
      </c>
      <c r="CQ41" s="5">
        <f t="shared" si="53"/>
        <v>439136.65812168387</v>
      </c>
      <c r="CR41" s="5">
        <f t="shared" si="54"/>
        <v>17921.819418224524</v>
      </c>
      <c r="CS41" s="5">
        <f t="shared" si="55"/>
        <v>457058.47753990837</v>
      </c>
      <c r="CT41" s="5">
        <f t="shared" si="56"/>
        <v>41207.684891872494</v>
      </c>
      <c r="CV41" s="5">
        <f t="shared" si="57"/>
        <v>398346.2770661572</v>
      </c>
      <c r="CW41" s="5">
        <f t="shared" si="58"/>
        <v>16257.103367406591</v>
      </c>
      <c r="CX41" s="5">
        <f t="shared" si="59"/>
        <v>414603.38043356378</v>
      </c>
      <c r="CY41" s="5">
        <f t="shared" si="60"/>
        <v>37379.99904950818</v>
      </c>
      <c r="DA41" s="5">
        <f t="shared" si="61"/>
        <v>39685.600500872672</v>
      </c>
      <c r="DB41" s="5">
        <f t="shared" si="62"/>
        <v>1619.6283150730681</v>
      </c>
      <c r="DC41" s="5">
        <f t="shared" si="63"/>
        <v>41305.228815945738</v>
      </c>
      <c r="DD41" s="5">
        <f t="shared" si="64"/>
        <v>3724.0154970882563</v>
      </c>
      <c r="DF41" s="5">
        <f t="shared" si="65"/>
        <v>1373905.2385046163</v>
      </c>
      <c r="DG41" s="5">
        <f t="shared" si="66"/>
        <v>56071.113915999886</v>
      </c>
      <c r="DH41" s="5">
        <f t="shared" si="67"/>
        <v>1429976.3524206162</v>
      </c>
      <c r="DI41" s="5">
        <f t="shared" si="68"/>
        <v>128924.45459177114</v>
      </c>
      <c r="DK41" s="5">
        <f t="shared" si="69"/>
        <v>2840380.6333204978</v>
      </c>
      <c r="DL41" s="5">
        <f t="shared" si="70"/>
        <v>115920.15343726227</v>
      </c>
      <c r="DM41" s="5">
        <f t="shared" si="71"/>
        <v>2956300.7867577602</v>
      </c>
      <c r="DN41" s="5">
        <f t="shared" si="72"/>
        <v>266535.50311988586</v>
      </c>
      <c r="DP41" s="5">
        <f t="shared" si="73"/>
        <v>557.17528063102395</v>
      </c>
      <c r="DQ41" s="5">
        <f t="shared" si="74"/>
        <v>22.739150966077617</v>
      </c>
      <c r="DR41" s="5">
        <f t="shared" si="75"/>
        <v>579.91443159710161</v>
      </c>
      <c r="DS41" s="5">
        <f t="shared" si="76"/>
        <v>52.284187551069174</v>
      </c>
      <c r="DU41" s="5">
        <f t="shared" si="77"/>
        <v>0</v>
      </c>
      <c r="DV41" s="5">
        <f t="shared" si="78"/>
        <v>0</v>
      </c>
      <c r="DW41" s="5">
        <f t="shared" si="79"/>
        <v>0</v>
      </c>
      <c r="DX41" s="5">
        <f t="shared" si="80"/>
        <v>0</v>
      </c>
      <c r="ED41" s="5"/>
      <c r="EE41" s="5"/>
      <c r="EF41" s="5"/>
      <c r="EG41" s="5"/>
      <c r="EH41" s="5"/>
      <c r="EI41" s="5"/>
    </row>
    <row r="42" spans="1:139" ht="12" customHeight="1" x14ac:dyDescent="0.2">
      <c r="A42" s="28">
        <v>14885</v>
      </c>
      <c r="D42" s="3">
        <v>1298700</v>
      </c>
      <c r="E42" s="3">
        <v>285756</v>
      </c>
      <c r="G42" s="3">
        <v>166700</v>
      </c>
      <c r="H42" s="3">
        <v>751642</v>
      </c>
      <c r="P42" s="3">
        <f t="shared" si="0"/>
        <v>1465400</v>
      </c>
      <c r="Q42" s="3">
        <f t="shared" si="1"/>
        <v>1465400</v>
      </c>
      <c r="R42" s="3">
        <f t="shared" si="2"/>
        <v>1037398</v>
      </c>
      <c r="T42" s="3"/>
      <c r="U42" s="3"/>
      <c r="W42" s="3"/>
      <c r="Z42" s="5">
        <f t="shared" si="4"/>
        <v>1298700</v>
      </c>
      <c r="AA42" s="5">
        <f t="shared" si="5"/>
        <v>1298700</v>
      </c>
      <c r="AB42" s="5">
        <f t="shared" si="4"/>
        <v>285756</v>
      </c>
      <c r="AD42" s="5"/>
      <c r="AE42" s="5">
        <f t="shared" si="82"/>
        <v>215340.82362000001</v>
      </c>
      <c r="AF42" s="5">
        <f t="shared" si="7"/>
        <v>215340.82362000001</v>
      </c>
      <c r="AG42" s="5">
        <f t="shared" si="8"/>
        <v>47381.945325599998</v>
      </c>
      <c r="AJ42" s="5">
        <f t="shared" si="83"/>
        <v>1083359.1763800001</v>
      </c>
      <c r="AK42" s="5">
        <f t="shared" si="10"/>
        <v>1083359.1763800001</v>
      </c>
      <c r="AL42" s="5">
        <f t="shared" si="11"/>
        <v>238374.05467440002</v>
      </c>
      <c r="AN42" s="5">
        <f>'20-Yrs Acad Revised'!H41</f>
        <v>0</v>
      </c>
      <c r="AO42" s="5">
        <f>'20-Yrs Acad Revised'!I41</f>
        <v>16260.018442710736</v>
      </c>
      <c r="AP42" s="5">
        <f t="shared" si="12"/>
        <v>16260.018442710736</v>
      </c>
      <c r="AQ42" s="5">
        <f>'20-Yrs Acad Revised'!K41</f>
        <v>73315.613571181675</v>
      </c>
      <c r="AS42" s="3">
        <f t="shared" si="13"/>
        <v>0</v>
      </c>
      <c r="AT42" s="3">
        <f t="shared" si="14"/>
        <v>150439.98155728925</v>
      </c>
      <c r="AU42" s="5">
        <f t="shared" si="15"/>
        <v>150439.98155728925</v>
      </c>
      <c r="AV42" s="3">
        <f t="shared" si="16"/>
        <v>678326.38642881834</v>
      </c>
      <c r="AX42" s="5">
        <f t="shared" si="17"/>
        <v>0</v>
      </c>
      <c r="AY42" s="5">
        <f t="shared" si="18"/>
        <v>8864.5172801462923</v>
      </c>
      <c r="AZ42" s="5">
        <f t="shared" si="19"/>
        <v>8864.5172801462923</v>
      </c>
      <c r="BA42" s="5">
        <f t="shared" si="20"/>
        <v>39969.667051492019</v>
      </c>
      <c r="BC42" s="5">
        <f t="shared" si="21"/>
        <v>0</v>
      </c>
      <c r="BD42" s="5">
        <f t="shared" si="22"/>
        <v>26901.982209722322</v>
      </c>
      <c r="BE42" s="5">
        <f t="shared" si="23"/>
        <v>26901.982209722322</v>
      </c>
      <c r="BF42" s="5">
        <f t="shared" si="24"/>
        <v>121299.69833281408</v>
      </c>
      <c r="BH42" s="5">
        <f t="shared" si="25"/>
        <v>0</v>
      </c>
      <c r="BI42" s="5">
        <f t="shared" si="26"/>
        <v>3406.64529987376</v>
      </c>
      <c r="BJ42" s="5">
        <f t="shared" si="27"/>
        <v>3406.64529987376</v>
      </c>
      <c r="BK42" s="5">
        <f t="shared" si="28"/>
        <v>15360.394040118252</v>
      </c>
      <c r="BM42" s="5">
        <f t="shared" si="29"/>
        <v>0</v>
      </c>
      <c r="BN42" s="5">
        <f t="shared" si="30"/>
        <v>37.292921387452367</v>
      </c>
      <c r="BO42" s="5">
        <f t="shared" si="31"/>
        <v>37.292921387452367</v>
      </c>
      <c r="BP42" s="5">
        <f t="shared" si="32"/>
        <v>168.15192571990087</v>
      </c>
      <c r="BR42" s="5">
        <f t="shared" si="33"/>
        <v>0</v>
      </c>
      <c r="BS42" s="5">
        <f t="shared" si="34"/>
        <v>59.210634559513252</v>
      </c>
      <c r="BT42" s="5">
        <f t="shared" si="35"/>
        <v>59.210634559513252</v>
      </c>
      <c r="BU42" s="5">
        <f t="shared" si="36"/>
        <v>266.9778031288642</v>
      </c>
      <c r="BW42" s="5">
        <f t="shared" si="37"/>
        <v>0</v>
      </c>
      <c r="BX42" s="5">
        <f t="shared" si="38"/>
        <v>3512.7951527002306</v>
      </c>
      <c r="BY42" s="5">
        <f t="shared" si="39"/>
        <v>3512.7951527002306</v>
      </c>
      <c r="BZ42" s="5">
        <f t="shared" si="40"/>
        <v>15839.018441307178</v>
      </c>
      <c r="CB42" s="5">
        <f t="shared" si="41"/>
        <v>0</v>
      </c>
      <c r="CC42" s="5">
        <f t="shared" si="42"/>
        <v>18.029480010015693</v>
      </c>
      <c r="CD42" s="5">
        <f t="shared" si="43"/>
        <v>18.029480010015693</v>
      </c>
      <c r="CE42" s="5">
        <f t="shared" si="44"/>
        <v>81.29402767659397</v>
      </c>
      <c r="CG42" s="5">
        <f t="shared" si="45"/>
        <v>0</v>
      </c>
      <c r="CH42" s="5">
        <f t="shared" si="46"/>
        <v>774.06778917742702</v>
      </c>
      <c r="CI42" s="5">
        <f t="shared" si="47"/>
        <v>774.06778917742702</v>
      </c>
      <c r="CJ42" s="5">
        <f t="shared" si="48"/>
        <v>3490.2331205332912</v>
      </c>
      <c r="CL42" s="5">
        <f t="shared" si="49"/>
        <v>0</v>
      </c>
      <c r="CM42" s="5">
        <f t="shared" si="50"/>
        <v>893.11484066903563</v>
      </c>
      <c r="CN42" s="5">
        <f t="shared" si="51"/>
        <v>893.11484066903563</v>
      </c>
      <c r="CO42" s="5">
        <f t="shared" si="52"/>
        <v>4027.0103483512617</v>
      </c>
      <c r="CQ42" s="5">
        <f t="shared" si="53"/>
        <v>0</v>
      </c>
      <c r="CR42" s="5">
        <f t="shared" si="54"/>
        <v>9139.0862557908495</v>
      </c>
      <c r="CS42" s="5">
        <f t="shared" si="55"/>
        <v>9139.0862557908495</v>
      </c>
      <c r="CT42" s="5">
        <f t="shared" si="56"/>
        <v>41207.684891872494</v>
      </c>
      <c r="CV42" s="5">
        <f t="shared" si="57"/>
        <v>0</v>
      </c>
      <c r="CW42" s="5">
        <f t="shared" si="58"/>
        <v>8290.1778260834471</v>
      </c>
      <c r="CX42" s="5">
        <f t="shared" si="59"/>
        <v>8290.1778260834471</v>
      </c>
      <c r="CY42" s="5">
        <f t="shared" si="60"/>
        <v>37379.99904950818</v>
      </c>
      <c r="DA42" s="5">
        <f t="shared" si="61"/>
        <v>0</v>
      </c>
      <c r="DB42" s="5">
        <f t="shared" si="62"/>
        <v>825.91630505561466</v>
      </c>
      <c r="DC42" s="5">
        <f t="shared" si="63"/>
        <v>825.91630505561466</v>
      </c>
      <c r="DD42" s="5">
        <f t="shared" si="64"/>
        <v>3724.0154970882563</v>
      </c>
      <c r="DF42" s="5">
        <f t="shared" si="65"/>
        <v>0</v>
      </c>
      <c r="DG42" s="5">
        <f t="shared" si="66"/>
        <v>28593.009145907556</v>
      </c>
      <c r="DH42" s="5">
        <f t="shared" si="67"/>
        <v>28593.009145907556</v>
      </c>
      <c r="DI42" s="5">
        <f t="shared" si="68"/>
        <v>128924.45459177114</v>
      </c>
      <c r="DK42" s="5">
        <f t="shared" si="69"/>
        <v>0</v>
      </c>
      <c r="DL42" s="5">
        <f t="shared" si="70"/>
        <v>59112.540770852305</v>
      </c>
      <c r="DM42" s="5">
        <f t="shared" si="71"/>
        <v>59112.540770852305</v>
      </c>
      <c r="DN42" s="5">
        <f t="shared" si="72"/>
        <v>266535.50311988586</v>
      </c>
      <c r="DP42" s="5">
        <f t="shared" si="73"/>
        <v>0</v>
      </c>
      <c r="DQ42" s="5">
        <f t="shared" si="74"/>
        <v>11.59564535345714</v>
      </c>
      <c r="DR42" s="5">
        <f t="shared" si="75"/>
        <v>11.59564535345714</v>
      </c>
      <c r="DS42" s="5">
        <f t="shared" si="76"/>
        <v>52.284187551069174</v>
      </c>
      <c r="DU42" s="5">
        <f t="shared" si="77"/>
        <v>0</v>
      </c>
      <c r="DV42" s="5">
        <f t="shared" si="78"/>
        <v>0</v>
      </c>
      <c r="DW42" s="5">
        <f t="shared" si="79"/>
        <v>0</v>
      </c>
      <c r="DX42" s="5">
        <f t="shared" si="80"/>
        <v>0</v>
      </c>
      <c r="ED42" s="5"/>
      <c r="EE42" s="5"/>
      <c r="EF42" s="5"/>
      <c r="EG42" s="5"/>
      <c r="EH42" s="5"/>
      <c r="EI42" s="5"/>
    </row>
    <row r="43" spans="1:139" ht="12" customHeight="1" x14ac:dyDescent="0.2">
      <c r="A43" s="28">
        <v>15067</v>
      </c>
      <c r="C43" s="3">
        <v>0</v>
      </c>
      <c r="D43" s="3">
        <v>1298700</v>
      </c>
      <c r="E43" s="3">
        <v>285756</v>
      </c>
      <c r="F43" s="3">
        <v>8335000</v>
      </c>
      <c r="G43" s="3">
        <v>166700</v>
      </c>
      <c r="H43" s="3">
        <v>751642</v>
      </c>
      <c r="O43" s="3">
        <f t="shared" si="81"/>
        <v>8335000</v>
      </c>
      <c r="P43" s="3">
        <f t="shared" si="0"/>
        <v>1465400</v>
      </c>
      <c r="Q43" s="3">
        <f t="shared" si="1"/>
        <v>9800400</v>
      </c>
      <c r="R43" s="3">
        <f t="shared" si="2"/>
        <v>1037398</v>
      </c>
      <c r="T43" s="3"/>
      <c r="U43" s="3"/>
      <c r="W43" s="3"/>
      <c r="Y43" s="5">
        <f>AD43+AI43</f>
        <v>0</v>
      </c>
      <c r="Z43" s="5">
        <f t="shared" si="4"/>
        <v>1298700</v>
      </c>
      <c r="AA43" s="5">
        <f t="shared" si="5"/>
        <v>1298700</v>
      </c>
      <c r="AB43" s="5">
        <f t="shared" si="4"/>
        <v>285756</v>
      </c>
      <c r="AD43" s="5">
        <f>C43*$AE$7</f>
        <v>0</v>
      </c>
      <c r="AE43" s="5">
        <f t="shared" si="82"/>
        <v>215340.82362000001</v>
      </c>
      <c r="AF43" s="5">
        <f t="shared" si="7"/>
        <v>215340.82362000001</v>
      </c>
      <c r="AG43" s="5">
        <f t="shared" si="8"/>
        <v>47381.945325599998</v>
      </c>
      <c r="AI43" s="5">
        <f>C43*$AJ$7</f>
        <v>0</v>
      </c>
      <c r="AJ43" s="5">
        <f t="shared" si="83"/>
        <v>1083359.1763800001</v>
      </c>
      <c r="AK43" s="5">
        <f t="shared" si="10"/>
        <v>1083359.1763800001</v>
      </c>
      <c r="AL43" s="5">
        <f t="shared" si="11"/>
        <v>238374.05467440002</v>
      </c>
      <c r="AN43" s="5">
        <f>'20-Yrs Acad Revised'!H42</f>
        <v>813000.92213553679</v>
      </c>
      <c r="AO43" s="5">
        <f>'20-Yrs Acad Revised'!I42</f>
        <v>16260.018442710736</v>
      </c>
      <c r="AP43" s="5">
        <f t="shared" si="12"/>
        <v>829260.94057824754</v>
      </c>
      <c r="AQ43" s="5">
        <f>'20-Yrs Acad Revised'!K42</f>
        <v>73315.613571181675</v>
      </c>
      <c r="AS43" s="3">
        <f t="shared" si="13"/>
        <v>7521999.0778644644</v>
      </c>
      <c r="AT43" s="3">
        <f t="shared" si="14"/>
        <v>150439.98155728925</v>
      </c>
      <c r="AU43" s="5">
        <f t="shared" si="15"/>
        <v>7672439.0594217535</v>
      </c>
      <c r="AV43" s="3">
        <f t="shared" si="16"/>
        <v>678326.38642881834</v>
      </c>
      <c r="AX43" s="5">
        <f t="shared" si="17"/>
        <v>443225.86400731467</v>
      </c>
      <c r="AY43" s="5">
        <f t="shared" si="18"/>
        <v>8864.5172801462923</v>
      </c>
      <c r="AZ43" s="5">
        <f t="shared" si="19"/>
        <v>452090.38128746097</v>
      </c>
      <c r="BA43" s="5">
        <f t="shared" si="20"/>
        <v>39969.667051492019</v>
      </c>
      <c r="BC43" s="5">
        <f t="shared" si="21"/>
        <v>1345099.1104861163</v>
      </c>
      <c r="BD43" s="5">
        <f t="shared" si="22"/>
        <v>26901.982209722322</v>
      </c>
      <c r="BE43" s="5">
        <f t="shared" si="23"/>
        <v>1372001.0926958385</v>
      </c>
      <c r="BF43" s="5">
        <f t="shared" si="24"/>
        <v>121299.69833281408</v>
      </c>
      <c r="BH43" s="5">
        <f t="shared" si="25"/>
        <v>170332.264993688</v>
      </c>
      <c r="BI43" s="5">
        <f t="shared" si="26"/>
        <v>3406.64529987376</v>
      </c>
      <c r="BJ43" s="5">
        <f t="shared" si="27"/>
        <v>173738.91029356176</v>
      </c>
      <c r="BK43" s="5">
        <f t="shared" si="28"/>
        <v>15360.394040118252</v>
      </c>
      <c r="BM43" s="5">
        <f t="shared" si="29"/>
        <v>1864.6460693726185</v>
      </c>
      <c r="BN43" s="5">
        <f t="shared" si="30"/>
        <v>37.292921387452367</v>
      </c>
      <c r="BO43" s="5">
        <f t="shared" si="31"/>
        <v>1901.938990760071</v>
      </c>
      <c r="BP43" s="5">
        <f t="shared" si="32"/>
        <v>168.15192571990087</v>
      </c>
      <c r="BR43" s="5">
        <f t="shared" si="33"/>
        <v>2960.5317279756628</v>
      </c>
      <c r="BS43" s="5">
        <f t="shared" si="34"/>
        <v>59.210634559513252</v>
      </c>
      <c r="BT43" s="5">
        <f t="shared" si="35"/>
        <v>3019.7423625351762</v>
      </c>
      <c r="BU43" s="5">
        <f t="shared" si="36"/>
        <v>266.9778031288642</v>
      </c>
      <c r="BW43" s="5">
        <f t="shared" si="37"/>
        <v>175639.75763501151</v>
      </c>
      <c r="BX43" s="5">
        <f t="shared" si="38"/>
        <v>3512.7951527002306</v>
      </c>
      <c r="BY43" s="5">
        <f t="shared" si="39"/>
        <v>179152.55278771176</v>
      </c>
      <c r="BZ43" s="5">
        <f t="shared" si="40"/>
        <v>15839.018441307178</v>
      </c>
      <c r="CB43" s="5">
        <f t="shared" si="41"/>
        <v>901.47400050078454</v>
      </c>
      <c r="CC43" s="5">
        <f t="shared" si="42"/>
        <v>18.029480010015693</v>
      </c>
      <c r="CD43" s="5">
        <f t="shared" si="43"/>
        <v>919.50348051080027</v>
      </c>
      <c r="CE43" s="5">
        <f t="shared" si="44"/>
        <v>81.29402767659397</v>
      </c>
      <c r="CG43" s="5">
        <f t="shared" si="45"/>
        <v>38703.389458871352</v>
      </c>
      <c r="CH43" s="5">
        <f t="shared" si="46"/>
        <v>774.06778917742702</v>
      </c>
      <c r="CI43" s="5">
        <f t="shared" si="47"/>
        <v>39477.457248048777</v>
      </c>
      <c r="CJ43" s="5">
        <f t="shared" si="48"/>
        <v>3490.2331205332912</v>
      </c>
      <c r="CL43" s="5">
        <f t="shared" si="49"/>
        <v>44655.742033451781</v>
      </c>
      <c r="CM43" s="5">
        <f t="shared" si="50"/>
        <v>893.11484066903563</v>
      </c>
      <c r="CN43" s="5">
        <f t="shared" si="51"/>
        <v>45548.856874120815</v>
      </c>
      <c r="CO43" s="5">
        <f t="shared" si="52"/>
        <v>4027.0103483512617</v>
      </c>
      <c r="CQ43" s="5">
        <f t="shared" si="53"/>
        <v>456954.31278954243</v>
      </c>
      <c r="CR43" s="5">
        <f t="shared" si="54"/>
        <v>9139.0862557908495</v>
      </c>
      <c r="CS43" s="5">
        <f t="shared" si="55"/>
        <v>466093.39904533327</v>
      </c>
      <c r="CT43" s="5">
        <f t="shared" si="56"/>
        <v>41207.684891872494</v>
      </c>
      <c r="CV43" s="5">
        <f t="shared" si="57"/>
        <v>414508.89130417234</v>
      </c>
      <c r="CW43" s="5">
        <f t="shared" si="58"/>
        <v>8290.1778260834471</v>
      </c>
      <c r="CX43" s="5">
        <f t="shared" si="59"/>
        <v>422799.06913025578</v>
      </c>
      <c r="CY43" s="5">
        <f t="shared" si="60"/>
        <v>37379.99904950818</v>
      </c>
      <c r="DA43" s="5">
        <f t="shared" si="61"/>
        <v>41295.815252780732</v>
      </c>
      <c r="DB43" s="5">
        <f t="shared" si="62"/>
        <v>825.91630505561466</v>
      </c>
      <c r="DC43" s="5">
        <f t="shared" si="63"/>
        <v>42121.731557836349</v>
      </c>
      <c r="DD43" s="5">
        <f t="shared" si="64"/>
        <v>3724.0154970882563</v>
      </c>
      <c r="DF43" s="5">
        <f t="shared" si="65"/>
        <v>1429650.457295378</v>
      </c>
      <c r="DG43" s="5">
        <f t="shared" si="66"/>
        <v>28593.009145907556</v>
      </c>
      <c r="DH43" s="5">
        <f t="shared" si="67"/>
        <v>1458243.4664412856</v>
      </c>
      <c r="DI43" s="5">
        <f t="shared" si="68"/>
        <v>128924.45459177114</v>
      </c>
      <c r="DK43" s="5">
        <f t="shared" si="69"/>
        <v>2955627.0385426152</v>
      </c>
      <c r="DL43" s="5">
        <f t="shared" si="70"/>
        <v>59112.540770852305</v>
      </c>
      <c r="DM43" s="5">
        <f t="shared" si="71"/>
        <v>3014739.5793134677</v>
      </c>
      <c r="DN43" s="5">
        <f t="shared" si="72"/>
        <v>266535.50311988586</v>
      </c>
      <c r="DP43" s="5">
        <f t="shared" si="73"/>
        <v>579.78226767285696</v>
      </c>
      <c r="DQ43" s="5">
        <f t="shared" si="74"/>
        <v>11.59564535345714</v>
      </c>
      <c r="DR43" s="5">
        <f t="shared" si="75"/>
        <v>591.3779130263141</v>
      </c>
      <c r="DS43" s="5">
        <f t="shared" si="76"/>
        <v>52.284187551069174</v>
      </c>
      <c r="DU43" s="5">
        <f t="shared" si="77"/>
        <v>0</v>
      </c>
      <c r="DV43" s="5">
        <f t="shared" si="78"/>
        <v>0</v>
      </c>
      <c r="DW43" s="5">
        <f t="shared" si="79"/>
        <v>0</v>
      </c>
      <c r="DX43" s="5">
        <f t="shared" si="80"/>
        <v>0</v>
      </c>
      <c r="ED43" s="5"/>
      <c r="EE43" s="5"/>
      <c r="EF43" s="5"/>
      <c r="EG43" s="5"/>
      <c r="EH43" s="5"/>
      <c r="EI43" s="5"/>
    </row>
    <row r="44" spans="1:139" ht="12" customHeight="1" x14ac:dyDescent="0.2">
      <c r="A44" s="28">
        <v>15250</v>
      </c>
      <c r="D44" s="3">
        <v>1298700</v>
      </c>
      <c r="E44" s="3">
        <v>285756</v>
      </c>
      <c r="P44" s="3">
        <f t="shared" si="0"/>
        <v>1298700</v>
      </c>
      <c r="Q44" s="3">
        <f t="shared" si="1"/>
        <v>1298700</v>
      </c>
      <c r="R44" s="3">
        <f t="shared" si="2"/>
        <v>285756</v>
      </c>
      <c r="T44" s="3"/>
      <c r="U44" s="3"/>
      <c r="W44" s="3"/>
      <c r="Z44" s="5">
        <f t="shared" si="4"/>
        <v>1298700</v>
      </c>
      <c r="AA44" s="5">
        <f t="shared" si="5"/>
        <v>1298700</v>
      </c>
      <c r="AB44" s="5">
        <f t="shared" si="4"/>
        <v>285756</v>
      </c>
      <c r="AD44" s="5"/>
      <c r="AE44" s="5">
        <f t="shared" si="82"/>
        <v>215340.82362000001</v>
      </c>
      <c r="AF44" s="5">
        <f t="shared" si="7"/>
        <v>215340.82362000001</v>
      </c>
      <c r="AG44" s="5">
        <f t="shared" si="8"/>
        <v>47381.945325599998</v>
      </c>
      <c r="AJ44" s="5">
        <f t="shared" si="83"/>
        <v>1083359.1763800001</v>
      </c>
      <c r="AK44" s="5">
        <f t="shared" si="10"/>
        <v>1083359.1763800001</v>
      </c>
      <c r="AL44" s="5">
        <f t="shared" si="11"/>
        <v>238374.05467440002</v>
      </c>
      <c r="AN44" s="5">
        <f>'20-Yrs Acad Revised'!H43</f>
        <v>0</v>
      </c>
      <c r="AO44" s="5">
        <f>'20-Yrs Acad Revised'!I43</f>
        <v>0</v>
      </c>
      <c r="AP44" s="5">
        <f t="shared" si="12"/>
        <v>0</v>
      </c>
      <c r="AQ44" s="5">
        <f>'20-Yrs Acad Revised'!K43</f>
        <v>0</v>
      </c>
      <c r="AS44" s="3">
        <f t="shared" si="13"/>
        <v>0</v>
      </c>
      <c r="AT44" s="3">
        <f t="shared" si="14"/>
        <v>0</v>
      </c>
      <c r="AU44" s="5">
        <f t="shared" si="15"/>
        <v>0</v>
      </c>
      <c r="AV44" s="3">
        <f t="shared" si="16"/>
        <v>0</v>
      </c>
      <c r="AX44" s="5">
        <f t="shared" si="17"/>
        <v>0</v>
      </c>
      <c r="AY44" s="5">
        <f t="shared" si="18"/>
        <v>0</v>
      </c>
      <c r="AZ44" s="5">
        <f t="shared" si="19"/>
        <v>0</v>
      </c>
      <c r="BA44" s="5">
        <f t="shared" si="20"/>
        <v>0</v>
      </c>
      <c r="BC44" s="5">
        <f t="shared" si="21"/>
        <v>0</v>
      </c>
      <c r="BD44" s="5">
        <f t="shared" si="22"/>
        <v>0</v>
      </c>
      <c r="BE44" s="5">
        <f t="shared" si="23"/>
        <v>0</v>
      </c>
      <c r="BF44" s="5">
        <f t="shared" si="24"/>
        <v>0</v>
      </c>
      <c r="BH44" s="5">
        <f t="shared" si="25"/>
        <v>0</v>
      </c>
      <c r="BI44" s="5">
        <f t="shared" si="26"/>
        <v>0</v>
      </c>
      <c r="BJ44" s="5">
        <f t="shared" si="27"/>
        <v>0</v>
      </c>
      <c r="BK44" s="5">
        <f t="shared" si="28"/>
        <v>0</v>
      </c>
      <c r="BM44" s="5">
        <f t="shared" si="29"/>
        <v>0</v>
      </c>
      <c r="BN44" s="5">
        <f t="shared" si="30"/>
        <v>0</v>
      </c>
      <c r="BO44" s="5">
        <f t="shared" si="31"/>
        <v>0</v>
      </c>
      <c r="BP44" s="5">
        <f t="shared" si="32"/>
        <v>0</v>
      </c>
      <c r="BR44" s="5">
        <f t="shared" si="33"/>
        <v>0</v>
      </c>
      <c r="BS44" s="5">
        <f t="shared" si="34"/>
        <v>0</v>
      </c>
      <c r="BT44" s="5">
        <f t="shared" si="35"/>
        <v>0</v>
      </c>
      <c r="BU44" s="5">
        <f t="shared" si="36"/>
        <v>0</v>
      </c>
      <c r="BW44" s="5">
        <f t="shared" si="37"/>
        <v>0</v>
      </c>
      <c r="BX44" s="5">
        <f t="shared" si="38"/>
        <v>0</v>
      </c>
      <c r="BY44" s="5">
        <f t="shared" si="39"/>
        <v>0</v>
      </c>
      <c r="BZ44" s="5">
        <f t="shared" si="40"/>
        <v>0</v>
      </c>
      <c r="CB44" s="5">
        <f t="shared" si="41"/>
        <v>0</v>
      </c>
      <c r="CC44" s="5">
        <f t="shared" si="42"/>
        <v>0</v>
      </c>
      <c r="CD44" s="5">
        <f t="shared" si="43"/>
        <v>0</v>
      </c>
      <c r="CE44" s="5">
        <f t="shared" si="44"/>
        <v>0</v>
      </c>
      <c r="CG44" s="5">
        <f t="shared" si="45"/>
        <v>0</v>
      </c>
      <c r="CH44" s="5">
        <f t="shared" si="46"/>
        <v>0</v>
      </c>
      <c r="CI44" s="5">
        <f t="shared" si="47"/>
        <v>0</v>
      </c>
      <c r="CJ44" s="5">
        <f t="shared" si="48"/>
        <v>0</v>
      </c>
      <c r="CL44" s="5">
        <f t="shared" si="49"/>
        <v>0</v>
      </c>
      <c r="CM44" s="5">
        <f t="shared" si="50"/>
        <v>0</v>
      </c>
      <c r="CN44" s="5">
        <f t="shared" si="51"/>
        <v>0</v>
      </c>
      <c r="CO44" s="5">
        <f t="shared" si="52"/>
        <v>0</v>
      </c>
      <c r="CQ44" s="5">
        <f t="shared" si="53"/>
        <v>0</v>
      </c>
      <c r="CR44" s="5">
        <f t="shared" si="54"/>
        <v>0</v>
      </c>
      <c r="CS44" s="5">
        <f t="shared" si="55"/>
        <v>0</v>
      </c>
      <c r="CT44" s="5">
        <f t="shared" si="56"/>
        <v>0</v>
      </c>
      <c r="CV44" s="5">
        <f t="shared" si="57"/>
        <v>0</v>
      </c>
      <c r="CW44" s="5">
        <f t="shared" si="58"/>
        <v>0</v>
      </c>
      <c r="CX44" s="5">
        <f t="shared" si="59"/>
        <v>0</v>
      </c>
      <c r="CY44" s="5">
        <f t="shared" si="60"/>
        <v>0</v>
      </c>
      <c r="DA44" s="5">
        <f t="shared" si="61"/>
        <v>0</v>
      </c>
      <c r="DB44" s="5">
        <f t="shared" si="62"/>
        <v>0</v>
      </c>
      <c r="DC44" s="5">
        <f t="shared" si="63"/>
        <v>0</v>
      </c>
      <c r="DD44" s="5">
        <f t="shared" si="64"/>
        <v>0</v>
      </c>
      <c r="DF44" s="5">
        <f t="shared" si="65"/>
        <v>0</v>
      </c>
      <c r="DG44" s="5">
        <f t="shared" si="66"/>
        <v>0</v>
      </c>
      <c r="DH44" s="5">
        <f t="shared" si="67"/>
        <v>0</v>
      </c>
      <c r="DI44" s="5">
        <f t="shared" si="68"/>
        <v>0</v>
      </c>
      <c r="DK44" s="5">
        <f t="shared" si="69"/>
        <v>0</v>
      </c>
      <c r="DL44" s="5">
        <f t="shared" si="70"/>
        <v>0</v>
      </c>
      <c r="DM44" s="5">
        <f t="shared" si="71"/>
        <v>0</v>
      </c>
      <c r="DN44" s="5">
        <f t="shared" si="72"/>
        <v>0</v>
      </c>
      <c r="DP44" s="5">
        <f t="shared" si="73"/>
        <v>0</v>
      </c>
      <c r="DQ44" s="5">
        <f t="shared" si="74"/>
        <v>0</v>
      </c>
      <c r="DR44" s="5">
        <f t="shared" si="75"/>
        <v>0</v>
      </c>
      <c r="DS44" s="5">
        <f t="shared" si="76"/>
        <v>0</v>
      </c>
      <c r="DU44" s="5">
        <f t="shared" si="77"/>
        <v>0</v>
      </c>
      <c r="DV44" s="5">
        <f t="shared" si="78"/>
        <v>0</v>
      </c>
      <c r="DW44" s="5">
        <f t="shared" si="79"/>
        <v>0</v>
      </c>
      <c r="DX44" s="5">
        <f t="shared" si="80"/>
        <v>0</v>
      </c>
      <c r="ED44" s="5"/>
      <c r="EE44" s="5"/>
      <c r="EF44" s="5"/>
      <c r="EG44" s="5"/>
      <c r="EH44" s="5"/>
      <c r="EI44" s="5"/>
    </row>
    <row r="45" spans="1:139" ht="12" customHeight="1" x14ac:dyDescent="0.2">
      <c r="A45" s="28">
        <v>15432</v>
      </c>
      <c r="C45" s="3">
        <v>5160000</v>
      </c>
      <c r="D45" s="3">
        <v>1298700</v>
      </c>
      <c r="E45" s="3">
        <v>285756</v>
      </c>
      <c r="O45" s="3">
        <f t="shared" si="81"/>
        <v>5160000</v>
      </c>
      <c r="P45" s="3">
        <f t="shared" si="0"/>
        <v>1298700</v>
      </c>
      <c r="Q45" s="3">
        <f t="shared" si="1"/>
        <v>6458700</v>
      </c>
      <c r="R45" s="3">
        <f t="shared" si="2"/>
        <v>285756</v>
      </c>
      <c r="T45" s="3"/>
      <c r="U45" s="3"/>
      <c r="W45" s="3"/>
      <c r="Y45" s="5">
        <f>AD45+AI45</f>
        <v>5160000</v>
      </c>
      <c r="Z45" s="5">
        <f t="shared" si="4"/>
        <v>1298700</v>
      </c>
      <c r="AA45" s="5">
        <f t="shared" si="5"/>
        <v>6458700</v>
      </c>
      <c r="AB45" s="5">
        <f t="shared" si="4"/>
        <v>285756</v>
      </c>
      <c r="AD45" s="5">
        <f>C45*$AE$7</f>
        <v>855593.01600000006</v>
      </c>
      <c r="AE45" s="5">
        <f t="shared" si="82"/>
        <v>215340.82362000001</v>
      </c>
      <c r="AF45" s="5">
        <f t="shared" si="7"/>
        <v>1070933.83962</v>
      </c>
      <c r="AG45" s="5">
        <f t="shared" si="8"/>
        <v>47381.945325599998</v>
      </c>
      <c r="AI45" s="5">
        <f>C45*$AJ$7</f>
        <v>4304406.9840000002</v>
      </c>
      <c r="AJ45" s="5">
        <f t="shared" si="83"/>
        <v>1083359.1763800001</v>
      </c>
      <c r="AK45" s="5">
        <f t="shared" si="10"/>
        <v>5387766.1603800002</v>
      </c>
      <c r="AL45" s="5">
        <f t="shared" si="11"/>
        <v>238374.05467440002</v>
      </c>
      <c r="AS45" s="3">
        <f t="shared" si="13"/>
        <v>0</v>
      </c>
      <c r="AT45" s="3">
        <f t="shared" si="14"/>
        <v>0</v>
      </c>
      <c r="AU45" s="5">
        <f t="shared" si="15"/>
        <v>0</v>
      </c>
      <c r="AV45" s="3">
        <f t="shared" si="16"/>
        <v>0</v>
      </c>
      <c r="AX45" s="5">
        <f t="shared" si="17"/>
        <v>0</v>
      </c>
      <c r="AY45" s="5">
        <f t="shared" si="18"/>
        <v>0</v>
      </c>
      <c r="AZ45" s="5">
        <f t="shared" si="19"/>
        <v>0</v>
      </c>
      <c r="BA45" s="5">
        <f t="shared" si="20"/>
        <v>0</v>
      </c>
      <c r="BC45" s="5">
        <f t="shared" si="21"/>
        <v>0</v>
      </c>
      <c r="BD45" s="5">
        <f t="shared" si="22"/>
        <v>0</v>
      </c>
      <c r="BE45" s="5">
        <f t="shared" si="23"/>
        <v>0</v>
      </c>
      <c r="BF45" s="5">
        <f t="shared" si="24"/>
        <v>0</v>
      </c>
      <c r="BH45" s="5">
        <f t="shared" si="25"/>
        <v>0</v>
      </c>
      <c r="BI45" s="5">
        <f t="shared" si="26"/>
        <v>0</v>
      </c>
      <c r="BJ45" s="5">
        <f t="shared" si="27"/>
        <v>0</v>
      </c>
      <c r="BK45" s="5">
        <f t="shared" si="28"/>
        <v>0</v>
      </c>
      <c r="BM45" s="5">
        <f t="shared" si="29"/>
        <v>0</v>
      </c>
      <c r="BN45" s="5">
        <f t="shared" si="30"/>
        <v>0</v>
      </c>
      <c r="BO45" s="5">
        <f t="shared" si="31"/>
        <v>0</v>
      </c>
      <c r="BP45" s="5">
        <f t="shared" si="32"/>
        <v>0</v>
      </c>
      <c r="BR45" s="5">
        <f t="shared" si="33"/>
        <v>0</v>
      </c>
      <c r="BS45" s="5">
        <f t="shared" si="34"/>
        <v>0</v>
      </c>
      <c r="BT45" s="5">
        <f t="shared" si="35"/>
        <v>0</v>
      </c>
      <c r="BU45" s="5">
        <f t="shared" si="36"/>
        <v>0</v>
      </c>
      <c r="BW45" s="5">
        <f t="shared" si="37"/>
        <v>0</v>
      </c>
      <c r="BX45" s="5">
        <f t="shared" si="38"/>
        <v>0</v>
      </c>
      <c r="BY45" s="5">
        <f t="shared" si="39"/>
        <v>0</v>
      </c>
      <c r="BZ45" s="5">
        <f t="shared" si="40"/>
        <v>0</v>
      </c>
      <c r="CB45" s="5">
        <f t="shared" si="41"/>
        <v>0</v>
      </c>
      <c r="CC45" s="5">
        <f t="shared" si="42"/>
        <v>0</v>
      </c>
      <c r="CD45" s="5">
        <f t="shared" si="43"/>
        <v>0</v>
      </c>
      <c r="CE45" s="5">
        <f t="shared" si="44"/>
        <v>0</v>
      </c>
      <c r="CG45" s="5">
        <f t="shared" si="45"/>
        <v>0</v>
      </c>
      <c r="CH45" s="5">
        <f t="shared" si="46"/>
        <v>0</v>
      </c>
      <c r="CI45" s="5">
        <f t="shared" si="47"/>
        <v>0</v>
      </c>
      <c r="CJ45" s="5">
        <f t="shared" si="48"/>
        <v>0</v>
      </c>
      <c r="CL45" s="5">
        <f t="shared" si="49"/>
        <v>0</v>
      </c>
      <c r="CM45" s="5">
        <f t="shared" si="50"/>
        <v>0</v>
      </c>
      <c r="CN45" s="5">
        <f t="shared" si="51"/>
        <v>0</v>
      </c>
      <c r="CO45" s="5">
        <f t="shared" si="52"/>
        <v>0</v>
      </c>
      <c r="CQ45" s="5">
        <f t="shared" si="53"/>
        <v>0</v>
      </c>
      <c r="CR45" s="5">
        <f t="shared" si="54"/>
        <v>0</v>
      </c>
      <c r="CS45" s="5">
        <f t="shared" si="55"/>
        <v>0</v>
      </c>
      <c r="CT45" s="5">
        <f t="shared" si="56"/>
        <v>0</v>
      </c>
      <c r="CV45" s="5">
        <f t="shared" si="57"/>
        <v>0</v>
      </c>
      <c r="CW45" s="5">
        <f t="shared" si="58"/>
        <v>0</v>
      </c>
      <c r="CX45" s="5">
        <f t="shared" si="59"/>
        <v>0</v>
      </c>
      <c r="CY45" s="5">
        <f t="shared" si="60"/>
        <v>0</v>
      </c>
      <c r="DA45" s="5">
        <f t="shared" si="61"/>
        <v>0</v>
      </c>
      <c r="DB45" s="5">
        <f t="shared" si="62"/>
        <v>0</v>
      </c>
      <c r="DC45" s="5">
        <f t="shared" si="63"/>
        <v>0</v>
      </c>
      <c r="DD45" s="5">
        <f t="shared" si="64"/>
        <v>0</v>
      </c>
      <c r="DF45" s="5">
        <f t="shared" si="65"/>
        <v>0</v>
      </c>
      <c r="DG45" s="5">
        <f t="shared" si="66"/>
        <v>0</v>
      </c>
      <c r="DH45" s="5">
        <f t="shared" si="67"/>
        <v>0</v>
      </c>
      <c r="DI45" s="5">
        <f t="shared" si="68"/>
        <v>0</v>
      </c>
      <c r="DK45" s="5">
        <f t="shared" si="69"/>
        <v>0</v>
      </c>
      <c r="DL45" s="5">
        <f t="shared" si="70"/>
        <v>0</v>
      </c>
      <c r="DM45" s="5">
        <f t="shared" si="71"/>
        <v>0</v>
      </c>
      <c r="DN45" s="5">
        <f t="shared" si="72"/>
        <v>0</v>
      </c>
      <c r="DP45" s="5">
        <f t="shared" si="73"/>
        <v>0</v>
      </c>
      <c r="DQ45" s="5">
        <f t="shared" si="74"/>
        <v>0</v>
      </c>
      <c r="DR45" s="5">
        <f t="shared" si="75"/>
        <v>0</v>
      </c>
      <c r="DS45" s="5">
        <f t="shared" si="76"/>
        <v>0</v>
      </c>
      <c r="DU45" s="5">
        <f t="shared" si="77"/>
        <v>0</v>
      </c>
      <c r="DV45" s="5">
        <f t="shared" si="78"/>
        <v>0</v>
      </c>
      <c r="DW45" s="5">
        <f t="shared" si="79"/>
        <v>0</v>
      </c>
      <c r="DX45" s="5">
        <f t="shared" si="80"/>
        <v>0</v>
      </c>
      <c r="ED45" s="5"/>
      <c r="EE45" s="5"/>
      <c r="EF45" s="5"/>
      <c r="EG45" s="5"/>
      <c r="EH45" s="5"/>
      <c r="EI45" s="5"/>
    </row>
    <row r="46" spans="1:139" ht="12" customHeight="1" x14ac:dyDescent="0.2">
      <c r="A46" s="28">
        <v>15615</v>
      </c>
      <c r="D46" s="3">
        <v>1195500</v>
      </c>
      <c r="E46" s="3">
        <v>285756</v>
      </c>
      <c r="P46" s="3">
        <f t="shared" si="0"/>
        <v>1195500</v>
      </c>
      <c r="Q46" s="3">
        <f t="shared" si="1"/>
        <v>1195500</v>
      </c>
      <c r="R46" s="3">
        <f t="shared" si="2"/>
        <v>285756</v>
      </c>
      <c r="T46" s="3"/>
      <c r="U46" s="3"/>
      <c r="W46" s="3"/>
      <c r="Z46" s="5">
        <f t="shared" si="4"/>
        <v>1195500</v>
      </c>
      <c r="AA46" s="5">
        <f t="shared" si="5"/>
        <v>1195500</v>
      </c>
      <c r="AB46" s="5">
        <f t="shared" si="4"/>
        <v>285756</v>
      </c>
      <c r="AD46" s="5"/>
      <c r="AE46" s="5">
        <f t="shared" si="82"/>
        <v>198228.9633</v>
      </c>
      <c r="AF46" s="5">
        <f t="shared" si="7"/>
        <v>198228.9633</v>
      </c>
      <c r="AG46" s="5">
        <f t="shared" si="8"/>
        <v>47381.945325599998</v>
      </c>
      <c r="AJ46" s="5">
        <f t="shared" si="83"/>
        <v>997271.03670000006</v>
      </c>
      <c r="AK46" s="5">
        <f t="shared" si="10"/>
        <v>997271.03670000006</v>
      </c>
      <c r="AL46" s="5">
        <f t="shared" si="11"/>
        <v>238374.05467440002</v>
      </c>
      <c r="AS46" s="3">
        <f t="shared" si="13"/>
        <v>0</v>
      </c>
      <c r="AT46" s="3">
        <f t="shared" si="14"/>
        <v>0</v>
      </c>
      <c r="AU46" s="5">
        <f t="shared" si="15"/>
        <v>0</v>
      </c>
      <c r="AV46" s="3">
        <f t="shared" si="16"/>
        <v>0</v>
      </c>
      <c r="AX46" s="5">
        <f t="shared" si="17"/>
        <v>0</v>
      </c>
      <c r="AY46" s="5">
        <f t="shared" si="18"/>
        <v>0</v>
      </c>
      <c r="AZ46" s="5">
        <f t="shared" si="19"/>
        <v>0</v>
      </c>
      <c r="BA46" s="5">
        <f t="shared" si="20"/>
        <v>0</v>
      </c>
      <c r="BC46" s="5">
        <f t="shared" si="21"/>
        <v>0</v>
      </c>
      <c r="BD46" s="5">
        <f t="shared" si="22"/>
        <v>0</v>
      </c>
      <c r="BE46" s="5">
        <f t="shared" si="23"/>
        <v>0</v>
      </c>
      <c r="BF46" s="5">
        <f t="shared" si="24"/>
        <v>0</v>
      </c>
      <c r="BH46" s="5">
        <f t="shared" si="25"/>
        <v>0</v>
      </c>
      <c r="BI46" s="5">
        <f t="shared" si="26"/>
        <v>0</v>
      </c>
      <c r="BJ46" s="5">
        <f t="shared" si="27"/>
        <v>0</v>
      </c>
      <c r="BK46" s="5">
        <f t="shared" si="28"/>
        <v>0</v>
      </c>
      <c r="BM46" s="5">
        <f t="shared" si="29"/>
        <v>0</v>
      </c>
      <c r="BN46" s="5">
        <f t="shared" si="30"/>
        <v>0</v>
      </c>
      <c r="BO46" s="5">
        <f t="shared" si="31"/>
        <v>0</v>
      </c>
      <c r="BP46" s="5">
        <f t="shared" si="32"/>
        <v>0</v>
      </c>
      <c r="BR46" s="5">
        <f t="shared" si="33"/>
        <v>0</v>
      </c>
      <c r="BS46" s="5">
        <f t="shared" si="34"/>
        <v>0</v>
      </c>
      <c r="BT46" s="5">
        <f t="shared" si="35"/>
        <v>0</v>
      </c>
      <c r="BU46" s="5">
        <f t="shared" si="36"/>
        <v>0</v>
      </c>
      <c r="BW46" s="5">
        <f t="shared" si="37"/>
        <v>0</v>
      </c>
      <c r="BX46" s="5">
        <f t="shared" si="38"/>
        <v>0</v>
      </c>
      <c r="BY46" s="5">
        <f t="shared" si="39"/>
        <v>0</v>
      </c>
      <c r="BZ46" s="5">
        <f t="shared" si="40"/>
        <v>0</v>
      </c>
      <c r="CB46" s="5">
        <f t="shared" si="41"/>
        <v>0</v>
      </c>
      <c r="CC46" s="5">
        <f t="shared" si="42"/>
        <v>0</v>
      </c>
      <c r="CD46" s="5">
        <f t="shared" si="43"/>
        <v>0</v>
      </c>
      <c r="CE46" s="5">
        <f t="shared" si="44"/>
        <v>0</v>
      </c>
      <c r="CG46" s="5">
        <f t="shared" si="45"/>
        <v>0</v>
      </c>
      <c r="CH46" s="5">
        <f t="shared" si="46"/>
        <v>0</v>
      </c>
      <c r="CI46" s="5">
        <f t="shared" si="47"/>
        <v>0</v>
      </c>
      <c r="CJ46" s="5">
        <f t="shared" si="48"/>
        <v>0</v>
      </c>
      <c r="CL46" s="5">
        <f t="shared" si="49"/>
        <v>0</v>
      </c>
      <c r="CM46" s="5">
        <f t="shared" si="50"/>
        <v>0</v>
      </c>
      <c r="CN46" s="5">
        <f t="shared" si="51"/>
        <v>0</v>
      </c>
      <c r="CO46" s="5">
        <f t="shared" si="52"/>
        <v>0</v>
      </c>
      <c r="CQ46" s="5">
        <f t="shared" si="53"/>
        <v>0</v>
      </c>
      <c r="CR46" s="5">
        <f t="shared" si="54"/>
        <v>0</v>
      </c>
      <c r="CS46" s="5">
        <f t="shared" si="55"/>
        <v>0</v>
      </c>
      <c r="CT46" s="5">
        <f t="shared" si="56"/>
        <v>0</v>
      </c>
      <c r="CV46" s="5">
        <f t="shared" si="57"/>
        <v>0</v>
      </c>
      <c r="CW46" s="5">
        <f t="shared" si="58"/>
        <v>0</v>
      </c>
      <c r="CX46" s="5">
        <f t="shared" si="59"/>
        <v>0</v>
      </c>
      <c r="CY46" s="5">
        <f t="shared" si="60"/>
        <v>0</v>
      </c>
      <c r="DA46" s="5">
        <f t="shared" si="61"/>
        <v>0</v>
      </c>
      <c r="DB46" s="5">
        <f t="shared" si="62"/>
        <v>0</v>
      </c>
      <c r="DC46" s="5">
        <f t="shared" si="63"/>
        <v>0</v>
      </c>
      <c r="DD46" s="5">
        <f t="shared" si="64"/>
        <v>0</v>
      </c>
      <c r="DF46" s="5">
        <f t="shared" si="65"/>
        <v>0</v>
      </c>
      <c r="DG46" s="5">
        <f t="shared" si="66"/>
        <v>0</v>
      </c>
      <c r="DH46" s="5">
        <f t="shared" si="67"/>
        <v>0</v>
      </c>
      <c r="DI46" s="5">
        <f t="shared" si="68"/>
        <v>0</v>
      </c>
      <c r="DK46" s="5">
        <f t="shared" si="69"/>
        <v>0</v>
      </c>
      <c r="DL46" s="5">
        <f t="shared" si="70"/>
        <v>0</v>
      </c>
      <c r="DM46" s="5">
        <f t="shared" si="71"/>
        <v>0</v>
      </c>
      <c r="DN46" s="5">
        <f t="shared" si="72"/>
        <v>0</v>
      </c>
      <c r="DP46" s="5">
        <f t="shared" si="73"/>
        <v>0</v>
      </c>
      <c r="DQ46" s="5">
        <f t="shared" si="74"/>
        <v>0</v>
      </c>
      <c r="DR46" s="5">
        <f t="shared" si="75"/>
        <v>0</v>
      </c>
      <c r="DS46" s="5">
        <f t="shared" si="76"/>
        <v>0</v>
      </c>
      <c r="DU46" s="5">
        <f t="shared" si="77"/>
        <v>0</v>
      </c>
      <c r="DV46" s="5">
        <f t="shared" si="78"/>
        <v>0</v>
      </c>
      <c r="DW46" s="5">
        <f t="shared" si="79"/>
        <v>0</v>
      </c>
      <c r="DX46" s="5">
        <f t="shared" si="80"/>
        <v>0</v>
      </c>
      <c r="ED46" s="5"/>
      <c r="EE46" s="5"/>
      <c r="EF46" s="5"/>
      <c r="EG46" s="5"/>
      <c r="EH46" s="5"/>
      <c r="EI46" s="5"/>
    </row>
    <row r="47" spans="1:139" ht="12" customHeight="1" x14ac:dyDescent="0.2">
      <c r="A47" s="28">
        <v>15797</v>
      </c>
      <c r="C47" s="3">
        <v>5365000</v>
      </c>
      <c r="D47" s="3">
        <v>1195500</v>
      </c>
      <c r="E47" s="3">
        <v>285756</v>
      </c>
      <c r="O47" s="3">
        <f t="shared" si="81"/>
        <v>5365000</v>
      </c>
      <c r="P47" s="3">
        <f t="shared" si="0"/>
        <v>1195500</v>
      </c>
      <c r="Q47" s="3">
        <f t="shared" si="1"/>
        <v>6560500</v>
      </c>
      <c r="R47" s="3">
        <f t="shared" si="2"/>
        <v>285756</v>
      </c>
      <c r="T47" s="3"/>
      <c r="U47" s="3"/>
      <c r="W47" s="3"/>
      <c r="Y47" s="5">
        <f>AD47+AI47</f>
        <v>5365000.0000000009</v>
      </c>
      <c r="Z47" s="5">
        <f t="shared" si="4"/>
        <v>1195500</v>
      </c>
      <c r="AA47" s="5">
        <f t="shared" si="5"/>
        <v>6560500.0000000009</v>
      </c>
      <c r="AB47" s="5">
        <f t="shared" si="4"/>
        <v>285756</v>
      </c>
      <c r="AD47" s="5">
        <f>C47*$AE$7</f>
        <v>889584.59900000005</v>
      </c>
      <c r="AE47" s="5">
        <f t="shared" si="82"/>
        <v>198228.9633</v>
      </c>
      <c r="AF47" s="5">
        <f t="shared" si="7"/>
        <v>1087813.5623000001</v>
      </c>
      <c r="AG47" s="5">
        <f t="shared" si="8"/>
        <v>47381.945325599998</v>
      </c>
      <c r="AI47" s="5">
        <f>C47*$AJ$7</f>
        <v>4475415.4010000005</v>
      </c>
      <c r="AJ47" s="5">
        <f t="shared" si="83"/>
        <v>997271.03670000006</v>
      </c>
      <c r="AK47" s="5">
        <f t="shared" si="10"/>
        <v>5472686.4377000006</v>
      </c>
      <c r="AL47" s="5">
        <f t="shared" si="11"/>
        <v>238374.05467440002</v>
      </c>
      <c r="AS47" s="3">
        <f t="shared" si="13"/>
        <v>0</v>
      </c>
      <c r="AT47" s="3">
        <f t="shared" si="14"/>
        <v>0</v>
      </c>
      <c r="AU47" s="5">
        <f t="shared" si="15"/>
        <v>0</v>
      </c>
      <c r="AV47" s="3">
        <f t="shared" si="16"/>
        <v>0</v>
      </c>
      <c r="AX47" s="5">
        <f t="shared" si="17"/>
        <v>0</v>
      </c>
      <c r="AY47" s="5">
        <f t="shared" si="18"/>
        <v>0</v>
      </c>
      <c r="AZ47" s="5">
        <f t="shared" si="19"/>
        <v>0</v>
      </c>
      <c r="BA47" s="5">
        <f t="shared" si="20"/>
        <v>0</v>
      </c>
      <c r="BC47" s="5">
        <f t="shared" si="21"/>
        <v>0</v>
      </c>
      <c r="BD47" s="5">
        <f t="shared" si="22"/>
        <v>0</v>
      </c>
      <c r="BE47" s="5">
        <f t="shared" si="23"/>
        <v>0</v>
      </c>
      <c r="BF47" s="5">
        <f t="shared" si="24"/>
        <v>0</v>
      </c>
      <c r="BH47" s="5">
        <f t="shared" si="25"/>
        <v>0</v>
      </c>
      <c r="BI47" s="5">
        <f t="shared" si="26"/>
        <v>0</v>
      </c>
      <c r="BJ47" s="5">
        <f t="shared" si="27"/>
        <v>0</v>
      </c>
      <c r="BK47" s="5">
        <f t="shared" si="28"/>
        <v>0</v>
      </c>
      <c r="BM47" s="5">
        <f t="shared" si="29"/>
        <v>0</v>
      </c>
      <c r="BN47" s="5">
        <f t="shared" si="30"/>
        <v>0</v>
      </c>
      <c r="BO47" s="5">
        <f t="shared" si="31"/>
        <v>0</v>
      </c>
      <c r="BP47" s="5">
        <f t="shared" si="32"/>
        <v>0</v>
      </c>
      <c r="BR47" s="5">
        <f t="shared" si="33"/>
        <v>0</v>
      </c>
      <c r="BS47" s="5">
        <f t="shared" si="34"/>
        <v>0</v>
      </c>
      <c r="BT47" s="5">
        <f t="shared" si="35"/>
        <v>0</v>
      </c>
      <c r="BU47" s="5">
        <f t="shared" si="36"/>
        <v>0</v>
      </c>
      <c r="BW47" s="5">
        <f t="shared" si="37"/>
        <v>0</v>
      </c>
      <c r="BX47" s="5">
        <f t="shared" si="38"/>
        <v>0</v>
      </c>
      <c r="BY47" s="5">
        <f t="shared" si="39"/>
        <v>0</v>
      </c>
      <c r="BZ47" s="5">
        <f t="shared" si="40"/>
        <v>0</v>
      </c>
      <c r="CB47" s="5">
        <f t="shared" si="41"/>
        <v>0</v>
      </c>
      <c r="CC47" s="5">
        <f t="shared" si="42"/>
        <v>0</v>
      </c>
      <c r="CD47" s="5">
        <f t="shared" si="43"/>
        <v>0</v>
      </c>
      <c r="CE47" s="5">
        <f t="shared" si="44"/>
        <v>0</v>
      </c>
      <c r="CG47" s="5">
        <f t="shared" si="45"/>
        <v>0</v>
      </c>
      <c r="CH47" s="5">
        <f t="shared" si="46"/>
        <v>0</v>
      </c>
      <c r="CI47" s="5">
        <f t="shared" si="47"/>
        <v>0</v>
      </c>
      <c r="CJ47" s="5">
        <f t="shared" si="48"/>
        <v>0</v>
      </c>
      <c r="CL47" s="5">
        <f t="shared" si="49"/>
        <v>0</v>
      </c>
      <c r="CM47" s="5">
        <f t="shared" si="50"/>
        <v>0</v>
      </c>
      <c r="CN47" s="5">
        <f t="shared" si="51"/>
        <v>0</v>
      </c>
      <c r="CO47" s="5">
        <f t="shared" si="52"/>
        <v>0</v>
      </c>
      <c r="CQ47" s="5">
        <f t="shared" si="53"/>
        <v>0</v>
      </c>
      <c r="CR47" s="5">
        <f t="shared" si="54"/>
        <v>0</v>
      </c>
      <c r="CS47" s="5">
        <f t="shared" si="55"/>
        <v>0</v>
      </c>
      <c r="CT47" s="5">
        <f t="shared" si="56"/>
        <v>0</v>
      </c>
      <c r="CV47" s="5">
        <f t="shared" si="57"/>
        <v>0</v>
      </c>
      <c r="CW47" s="5">
        <f t="shared" si="58"/>
        <v>0</v>
      </c>
      <c r="CX47" s="5">
        <f t="shared" si="59"/>
        <v>0</v>
      </c>
      <c r="CY47" s="5">
        <f t="shared" si="60"/>
        <v>0</v>
      </c>
      <c r="DA47" s="5">
        <f t="shared" si="61"/>
        <v>0</v>
      </c>
      <c r="DB47" s="5">
        <f t="shared" si="62"/>
        <v>0</v>
      </c>
      <c r="DC47" s="5">
        <f t="shared" si="63"/>
        <v>0</v>
      </c>
      <c r="DD47" s="5">
        <f t="shared" si="64"/>
        <v>0</v>
      </c>
      <c r="DF47" s="5">
        <f t="shared" si="65"/>
        <v>0</v>
      </c>
      <c r="DG47" s="5">
        <f t="shared" si="66"/>
        <v>0</v>
      </c>
      <c r="DH47" s="5">
        <f t="shared" si="67"/>
        <v>0</v>
      </c>
      <c r="DI47" s="5">
        <f t="shared" si="68"/>
        <v>0</v>
      </c>
      <c r="DK47" s="5">
        <f t="shared" si="69"/>
        <v>0</v>
      </c>
      <c r="DL47" s="5">
        <f t="shared" si="70"/>
        <v>0</v>
      </c>
      <c r="DM47" s="5">
        <f t="shared" si="71"/>
        <v>0</v>
      </c>
      <c r="DN47" s="5">
        <f t="shared" si="72"/>
        <v>0</v>
      </c>
      <c r="DP47" s="5">
        <f t="shared" si="73"/>
        <v>0</v>
      </c>
      <c r="DQ47" s="5">
        <f t="shared" si="74"/>
        <v>0</v>
      </c>
      <c r="DR47" s="5">
        <f t="shared" si="75"/>
        <v>0</v>
      </c>
      <c r="DS47" s="5">
        <f t="shared" si="76"/>
        <v>0</v>
      </c>
      <c r="DU47" s="5">
        <f t="shared" si="77"/>
        <v>0</v>
      </c>
      <c r="DV47" s="5">
        <f t="shared" si="78"/>
        <v>0</v>
      </c>
      <c r="DW47" s="5">
        <f t="shared" si="79"/>
        <v>0</v>
      </c>
      <c r="DX47" s="5">
        <f t="shared" si="80"/>
        <v>0</v>
      </c>
      <c r="ED47" s="5"/>
      <c r="EE47" s="5"/>
      <c r="EF47" s="5"/>
      <c r="EG47" s="5"/>
      <c r="EH47" s="5"/>
      <c r="EI47" s="5"/>
    </row>
    <row r="48" spans="1:139" ht="12" customHeight="1" x14ac:dyDescent="0.2">
      <c r="A48" s="28">
        <v>15980</v>
      </c>
      <c r="D48" s="3">
        <v>1088200</v>
      </c>
      <c r="E48" s="3">
        <v>285756</v>
      </c>
      <c r="P48" s="3">
        <f t="shared" si="0"/>
        <v>1088200</v>
      </c>
      <c r="Q48" s="3">
        <f t="shared" si="1"/>
        <v>1088200</v>
      </c>
      <c r="R48" s="3">
        <f t="shared" si="2"/>
        <v>285756</v>
      </c>
      <c r="T48" s="3"/>
      <c r="U48" s="3"/>
      <c r="W48" s="3"/>
      <c r="Z48" s="5">
        <f t="shared" si="4"/>
        <v>1088200</v>
      </c>
      <c r="AA48" s="5">
        <f t="shared" si="5"/>
        <v>1088200</v>
      </c>
      <c r="AB48" s="5">
        <f t="shared" si="4"/>
        <v>285756</v>
      </c>
      <c r="AD48" s="5"/>
      <c r="AE48" s="5">
        <f t="shared" si="82"/>
        <v>180437.27132</v>
      </c>
      <c r="AF48" s="5">
        <f t="shared" si="7"/>
        <v>180437.27132</v>
      </c>
      <c r="AG48" s="5">
        <f t="shared" si="8"/>
        <v>47381.945325599998</v>
      </c>
      <c r="AJ48" s="5">
        <f t="shared" si="83"/>
        <v>907762.72868000006</v>
      </c>
      <c r="AK48" s="5">
        <f t="shared" si="10"/>
        <v>907762.72868000006</v>
      </c>
      <c r="AL48" s="5">
        <f t="shared" si="11"/>
        <v>238374.05467440002</v>
      </c>
      <c r="AS48" s="3">
        <f t="shared" si="13"/>
        <v>0</v>
      </c>
      <c r="AT48" s="3">
        <f t="shared" si="14"/>
        <v>0</v>
      </c>
      <c r="AU48" s="5">
        <f t="shared" si="15"/>
        <v>0</v>
      </c>
      <c r="AV48" s="3">
        <f t="shared" si="16"/>
        <v>0</v>
      </c>
      <c r="AX48" s="5">
        <f t="shared" si="17"/>
        <v>0</v>
      </c>
      <c r="AY48" s="5">
        <f t="shared" si="18"/>
        <v>0</v>
      </c>
      <c r="AZ48" s="5">
        <f t="shared" si="19"/>
        <v>0</v>
      </c>
      <c r="BA48" s="5">
        <f t="shared" si="20"/>
        <v>0</v>
      </c>
      <c r="BC48" s="5">
        <f t="shared" si="21"/>
        <v>0</v>
      </c>
      <c r="BD48" s="5">
        <f t="shared" si="22"/>
        <v>0</v>
      </c>
      <c r="BE48" s="5">
        <f t="shared" si="23"/>
        <v>0</v>
      </c>
      <c r="BF48" s="5">
        <f t="shared" si="24"/>
        <v>0</v>
      </c>
      <c r="BH48" s="5">
        <f t="shared" si="25"/>
        <v>0</v>
      </c>
      <c r="BI48" s="5">
        <f t="shared" si="26"/>
        <v>0</v>
      </c>
      <c r="BJ48" s="5">
        <f t="shared" si="27"/>
        <v>0</v>
      </c>
      <c r="BK48" s="5">
        <f t="shared" si="28"/>
        <v>0</v>
      </c>
      <c r="BM48" s="5">
        <f t="shared" si="29"/>
        <v>0</v>
      </c>
      <c r="BN48" s="5">
        <f t="shared" si="30"/>
        <v>0</v>
      </c>
      <c r="BO48" s="5">
        <f t="shared" si="31"/>
        <v>0</v>
      </c>
      <c r="BP48" s="5">
        <f t="shared" si="32"/>
        <v>0</v>
      </c>
      <c r="BR48" s="5">
        <f t="shared" si="33"/>
        <v>0</v>
      </c>
      <c r="BS48" s="5">
        <f t="shared" si="34"/>
        <v>0</v>
      </c>
      <c r="BT48" s="5">
        <f t="shared" si="35"/>
        <v>0</v>
      </c>
      <c r="BU48" s="5">
        <f t="shared" si="36"/>
        <v>0</v>
      </c>
      <c r="BW48" s="5">
        <f t="shared" si="37"/>
        <v>0</v>
      </c>
      <c r="BX48" s="5">
        <f t="shared" si="38"/>
        <v>0</v>
      </c>
      <c r="BY48" s="5">
        <f t="shared" si="39"/>
        <v>0</v>
      </c>
      <c r="BZ48" s="5">
        <f t="shared" si="40"/>
        <v>0</v>
      </c>
      <c r="CB48" s="5">
        <f t="shared" si="41"/>
        <v>0</v>
      </c>
      <c r="CC48" s="5">
        <f t="shared" si="42"/>
        <v>0</v>
      </c>
      <c r="CD48" s="5">
        <f t="shared" si="43"/>
        <v>0</v>
      </c>
      <c r="CE48" s="5">
        <f t="shared" si="44"/>
        <v>0</v>
      </c>
      <c r="CG48" s="5">
        <f t="shared" si="45"/>
        <v>0</v>
      </c>
      <c r="CH48" s="5">
        <f t="shared" si="46"/>
        <v>0</v>
      </c>
      <c r="CI48" s="5">
        <f t="shared" si="47"/>
        <v>0</v>
      </c>
      <c r="CJ48" s="5">
        <f t="shared" si="48"/>
        <v>0</v>
      </c>
      <c r="CL48" s="5">
        <f t="shared" si="49"/>
        <v>0</v>
      </c>
      <c r="CM48" s="5">
        <f t="shared" si="50"/>
        <v>0</v>
      </c>
      <c r="CN48" s="5">
        <f t="shared" si="51"/>
        <v>0</v>
      </c>
      <c r="CO48" s="5">
        <f t="shared" si="52"/>
        <v>0</v>
      </c>
      <c r="CQ48" s="5">
        <f t="shared" si="53"/>
        <v>0</v>
      </c>
      <c r="CR48" s="5">
        <f t="shared" si="54"/>
        <v>0</v>
      </c>
      <c r="CS48" s="5">
        <f t="shared" si="55"/>
        <v>0</v>
      </c>
      <c r="CT48" s="5">
        <f t="shared" si="56"/>
        <v>0</v>
      </c>
      <c r="CV48" s="5">
        <f t="shared" si="57"/>
        <v>0</v>
      </c>
      <c r="CW48" s="5">
        <f t="shared" si="58"/>
        <v>0</v>
      </c>
      <c r="CX48" s="5">
        <f t="shared" si="59"/>
        <v>0</v>
      </c>
      <c r="CY48" s="5">
        <f t="shared" si="60"/>
        <v>0</v>
      </c>
      <c r="DA48" s="5">
        <f t="shared" si="61"/>
        <v>0</v>
      </c>
      <c r="DB48" s="5">
        <f t="shared" si="62"/>
        <v>0</v>
      </c>
      <c r="DC48" s="5">
        <f t="shared" si="63"/>
        <v>0</v>
      </c>
      <c r="DD48" s="5">
        <f t="shared" si="64"/>
        <v>0</v>
      </c>
      <c r="DF48" s="5">
        <f t="shared" si="65"/>
        <v>0</v>
      </c>
      <c r="DG48" s="5">
        <f t="shared" si="66"/>
        <v>0</v>
      </c>
      <c r="DH48" s="5">
        <f t="shared" si="67"/>
        <v>0</v>
      </c>
      <c r="DI48" s="5">
        <f t="shared" si="68"/>
        <v>0</v>
      </c>
      <c r="DK48" s="5">
        <f t="shared" si="69"/>
        <v>0</v>
      </c>
      <c r="DL48" s="5">
        <f t="shared" si="70"/>
        <v>0</v>
      </c>
      <c r="DM48" s="5">
        <f t="shared" si="71"/>
        <v>0</v>
      </c>
      <c r="DN48" s="5">
        <f t="shared" si="72"/>
        <v>0</v>
      </c>
      <c r="DP48" s="5">
        <f t="shared" si="73"/>
        <v>0</v>
      </c>
      <c r="DQ48" s="5">
        <f t="shared" si="74"/>
        <v>0</v>
      </c>
      <c r="DR48" s="5">
        <f t="shared" si="75"/>
        <v>0</v>
      </c>
      <c r="DS48" s="5">
        <f t="shared" si="76"/>
        <v>0</v>
      </c>
      <c r="DU48" s="5">
        <f t="shared" si="77"/>
        <v>0</v>
      </c>
      <c r="DV48" s="5">
        <f t="shared" si="78"/>
        <v>0</v>
      </c>
      <c r="DW48" s="5">
        <f t="shared" si="79"/>
        <v>0</v>
      </c>
      <c r="DX48" s="5">
        <f t="shared" si="80"/>
        <v>0</v>
      </c>
      <c r="ED48" s="5"/>
      <c r="EE48" s="5"/>
      <c r="EF48" s="5"/>
      <c r="EG48" s="5"/>
      <c r="EH48" s="5"/>
      <c r="EI48" s="5"/>
    </row>
    <row r="49" spans="1:139" ht="12" customHeight="1" x14ac:dyDescent="0.2">
      <c r="A49" s="28">
        <v>16163</v>
      </c>
      <c r="C49" s="3">
        <v>5580000</v>
      </c>
      <c r="D49" s="3">
        <v>1088200</v>
      </c>
      <c r="E49" s="3">
        <v>285756</v>
      </c>
      <c r="O49" s="3">
        <f t="shared" si="81"/>
        <v>5580000</v>
      </c>
      <c r="P49" s="3">
        <f t="shared" si="0"/>
        <v>1088200</v>
      </c>
      <c r="Q49" s="3">
        <f t="shared" si="1"/>
        <v>6668200</v>
      </c>
      <c r="R49" s="3">
        <f t="shared" si="2"/>
        <v>285756</v>
      </c>
      <c r="T49" s="3"/>
      <c r="U49" s="3"/>
      <c r="W49" s="3"/>
      <c r="Y49" s="5">
        <f>AD49+AI49</f>
        <v>5580000</v>
      </c>
      <c r="Z49" s="5">
        <f t="shared" si="4"/>
        <v>1088200</v>
      </c>
      <c r="AA49" s="5">
        <f t="shared" si="5"/>
        <v>6668200</v>
      </c>
      <c r="AB49" s="5">
        <f t="shared" si="4"/>
        <v>285756</v>
      </c>
      <c r="AD49" s="5">
        <f>C49*$AE$7</f>
        <v>925234.30800000008</v>
      </c>
      <c r="AE49" s="5">
        <f t="shared" si="82"/>
        <v>180437.27132</v>
      </c>
      <c r="AF49" s="5">
        <f t="shared" si="7"/>
        <v>1105671.57932</v>
      </c>
      <c r="AG49" s="5">
        <f t="shared" si="8"/>
        <v>47381.945325599998</v>
      </c>
      <c r="AI49" s="5">
        <f>C49*$AJ$7</f>
        <v>4654765.6919999998</v>
      </c>
      <c r="AJ49" s="5">
        <f t="shared" si="83"/>
        <v>907762.72868000006</v>
      </c>
      <c r="AK49" s="5">
        <f t="shared" si="10"/>
        <v>5562528.4206799995</v>
      </c>
      <c r="AL49" s="5">
        <f t="shared" si="11"/>
        <v>238374.05467440002</v>
      </c>
      <c r="AS49" s="3">
        <f t="shared" si="13"/>
        <v>0</v>
      </c>
      <c r="AT49" s="3">
        <f t="shared" si="14"/>
        <v>0</v>
      </c>
      <c r="AU49" s="5">
        <f t="shared" si="15"/>
        <v>0</v>
      </c>
      <c r="AV49" s="3">
        <f t="shared" si="16"/>
        <v>0</v>
      </c>
      <c r="AX49" s="5">
        <f t="shared" si="17"/>
        <v>0</v>
      </c>
      <c r="AY49" s="5">
        <f t="shared" si="18"/>
        <v>0</v>
      </c>
      <c r="AZ49" s="5">
        <f t="shared" si="19"/>
        <v>0</v>
      </c>
      <c r="BA49" s="5">
        <f t="shared" si="20"/>
        <v>0</v>
      </c>
      <c r="BC49" s="5">
        <f t="shared" si="21"/>
        <v>0</v>
      </c>
      <c r="BD49" s="5">
        <f t="shared" si="22"/>
        <v>0</v>
      </c>
      <c r="BE49" s="5">
        <f t="shared" si="23"/>
        <v>0</v>
      </c>
      <c r="BF49" s="5">
        <f t="shared" si="24"/>
        <v>0</v>
      </c>
      <c r="BH49" s="5">
        <f t="shared" si="25"/>
        <v>0</v>
      </c>
      <c r="BI49" s="5">
        <f t="shared" si="26"/>
        <v>0</v>
      </c>
      <c r="BJ49" s="5">
        <f t="shared" si="27"/>
        <v>0</v>
      </c>
      <c r="BK49" s="5">
        <f t="shared" si="28"/>
        <v>0</v>
      </c>
      <c r="BM49" s="5">
        <f t="shared" si="29"/>
        <v>0</v>
      </c>
      <c r="BN49" s="5">
        <f t="shared" si="30"/>
        <v>0</v>
      </c>
      <c r="BO49" s="5">
        <f t="shared" si="31"/>
        <v>0</v>
      </c>
      <c r="BP49" s="5">
        <f t="shared" si="32"/>
        <v>0</v>
      </c>
      <c r="BR49" s="5">
        <f t="shared" si="33"/>
        <v>0</v>
      </c>
      <c r="BS49" s="5">
        <f t="shared" si="34"/>
        <v>0</v>
      </c>
      <c r="BT49" s="5">
        <f t="shared" si="35"/>
        <v>0</v>
      </c>
      <c r="BU49" s="5">
        <f t="shared" si="36"/>
        <v>0</v>
      </c>
      <c r="BW49" s="5">
        <f t="shared" si="37"/>
        <v>0</v>
      </c>
      <c r="BX49" s="5">
        <f t="shared" si="38"/>
        <v>0</v>
      </c>
      <c r="BY49" s="5">
        <f t="shared" si="39"/>
        <v>0</v>
      </c>
      <c r="BZ49" s="5">
        <f t="shared" si="40"/>
        <v>0</v>
      </c>
      <c r="CB49" s="5">
        <f t="shared" si="41"/>
        <v>0</v>
      </c>
      <c r="CC49" s="5">
        <f t="shared" si="42"/>
        <v>0</v>
      </c>
      <c r="CD49" s="5">
        <f t="shared" si="43"/>
        <v>0</v>
      </c>
      <c r="CE49" s="5">
        <f t="shared" si="44"/>
        <v>0</v>
      </c>
      <c r="CG49" s="5">
        <f t="shared" si="45"/>
        <v>0</v>
      </c>
      <c r="CH49" s="5">
        <f t="shared" si="46"/>
        <v>0</v>
      </c>
      <c r="CI49" s="5">
        <f t="shared" si="47"/>
        <v>0</v>
      </c>
      <c r="CJ49" s="5">
        <f t="shared" si="48"/>
        <v>0</v>
      </c>
      <c r="CL49" s="5">
        <f t="shared" si="49"/>
        <v>0</v>
      </c>
      <c r="CM49" s="5">
        <f t="shared" si="50"/>
        <v>0</v>
      </c>
      <c r="CN49" s="5">
        <f t="shared" si="51"/>
        <v>0</v>
      </c>
      <c r="CO49" s="5">
        <f t="shared" si="52"/>
        <v>0</v>
      </c>
      <c r="CQ49" s="5">
        <f t="shared" si="53"/>
        <v>0</v>
      </c>
      <c r="CR49" s="5">
        <f t="shared" si="54"/>
        <v>0</v>
      </c>
      <c r="CS49" s="5">
        <f t="shared" si="55"/>
        <v>0</v>
      </c>
      <c r="CT49" s="5">
        <f t="shared" si="56"/>
        <v>0</v>
      </c>
      <c r="CV49" s="5">
        <f t="shared" si="57"/>
        <v>0</v>
      </c>
      <c r="CW49" s="5">
        <f t="shared" si="58"/>
        <v>0</v>
      </c>
      <c r="CX49" s="5">
        <f t="shared" si="59"/>
        <v>0</v>
      </c>
      <c r="CY49" s="5">
        <f t="shared" si="60"/>
        <v>0</v>
      </c>
      <c r="DA49" s="5">
        <f t="shared" si="61"/>
        <v>0</v>
      </c>
      <c r="DB49" s="5">
        <f t="shared" si="62"/>
        <v>0</v>
      </c>
      <c r="DC49" s="5">
        <f t="shared" si="63"/>
        <v>0</v>
      </c>
      <c r="DD49" s="5">
        <f t="shared" si="64"/>
        <v>0</v>
      </c>
      <c r="DF49" s="5">
        <f t="shared" si="65"/>
        <v>0</v>
      </c>
      <c r="DG49" s="5">
        <f t="shared" si="66"/>
        <v>0</v>
      </c>
      <c r="DH49" s="5">
        <f t="shared" si="67"/>
        <v>0</v>
      </c>
      <c r="DI49" s="5">
        <f t="shared" si="68"/>
        <v>0</v>
      </c>
      <c r="DK49" s="5">
        <f t="shared" si="69"/>
        <v>0</v>
      </c>
      <c r="DL49" s="5">
        <f t="shared" si="70"/>
        <v>0</v>
      </c>
      <c r="DM49" s="5">
        <f t="shared" si="71"/>
        <v>0</v>
      </c>
      <c r="DN49" s="5">
        <f t="shared" si="72"/>
        <v>0</v>
      </c>
      <c r="DP49" s="5">
        <f t="shared" si="73"/>
        <v>0</v>
      </c>
      <c r="DQ49" s="5">
        <f t="shared" si="74"/>
        <v>0</v>
      </c>
      <c r="DR49" s="5">
        <f t="shared" si="75"/>
        <v>0</v>
      </c>
      <c r="DS49" s="5">
        <f t="shared" si="76"/>
        <v>0</v>
      </c>
      <c r="DU49" s="5">
        <f t="shared" si="77"/>
        <v>0</v>
      </c>
      <c r="DV49" s="5">
        <f t="shared" si="78"/>
        <v>0</v>
      </c>
      <c r="DW49" s="5">
        <f t="shared" si="79"/>
        <v>0</v>
      </c>
      <c r="DX49" s="5">
        <f t="shared" si="80"/>
        <v>0</v>
      </c>
      <c r="ED49" s="5"/>
      <c r="EE49" s="5"/>
      <c r="EF49" s="5"/>
      <c r="EG49" s="5"/>
      <c r="EH49" s="5"/>
      <c r="EI49" s="5"/>
    </row>
    <row r="50" spans="1:139" ht="12" customHeight="1" x14ac:dyDescent="0.2">
      <c r="A50" s="28">
        <v>16346</v>
      </c>
      <c r="D50" s="3">
        <v>976600</v>
      </c>
      <c r="E50" s="3">
        <v>285756</v>
      </c>
      <c r="P50" s="3">
        <f t="shared" si="0"/>
        <v>976600</v>
      </c>
      <c r="Q50" s="3">
        <f t="shared" si="1"/>
        <v>976600</v>
      </c>
      <c r="R50" s="3">
        <f t="shared" si="2"/>
        <v>285756</v>
      </c>
      <c r="T50" s="3"/>
      <c r="U50" s="3"/>
      <c r="W50" s="3"/>
      <c r="Z50" s="5">
        <f t="shared" si="4"/>
        <v>976600</v>
      </c>
      <c r="AA50" s="5">
        <f t="shared" si="5"/>
        <v>976600</v>
      </c>
      <c r="AB50" s="5">
        <f t="shared" si="4"/>
        <v>285756</v>
      </c>
      <c r="AD50" s="5"/>
      <c r="AE50" s="5">
        <f t="shared" si="82"/>
        <v>161932.58516000002</v>
      </c>
      <c r="AF50" s="5">
        <f t="shared" si="7"/>
        <v>161932.58516000002</v>
      </c>
      <c r="AG50" s="5">
        <f t="shared" si="8"/>
        <v>47381.945325599998</v>
      </c>
      <c r="AJ50" s="5">
        <f t="shared" si="83"/>
        <v>814667.41483999998</v>
      </c>
      <c r="AK50" s="5">
        <f t="shared" si="10"/>
        <v>814667.41483999998</v>
      </c>
      <c r="AL50" s="5">
        <f t="shared" si="11"/>
        <v>238374.05467440002</v>
      </c>
      <c r="AS50" s="3">
        <f t="shared" si="13"/>
        <v>0</v>
      </c>
      <c r="AT50" s="3">
        <f t="shared" si="14"/>
        <v>0</v>
      </c>
      <c r="AU50" s="5">
        <f t="shared" si="15"/>
        <v>0</v>
      </c>
      <c r="AV50" s="3">
        <f t="shared" si="16"/>
        <v>0</v>
      </c>
      <c r="AX50" s="5">
        <f t="shared" si="17"/>
        <v>0</v>
      </c>
      <c r="AY50" s="5">
        <f t="shared" si="18"/>
        <v>0</v>
      </c>
      <c r="AZ50" s="5">
        <f t="shared" si="19"/>
        <v>0</v>
      </c>
      <c r="BA50" s="5">
        <f t="shared" si="20"/>
        <v>0</v>
      </c>
      <c r="BC50" s="5">
        <f t="shared" si="21"/>
        <v>0</v>
      </c>
      <c r="BD50" s="5">
        <f t="shared" si="22"/>
        <v>0</v>
      </c>
      <c r="BE50" s="5">
        <f t="shared" si="23"/>
        <v>0</v>
      </c>
      <c r="BF50" s="5">
        <f t="shared" si="24"/>
        <v>0</v>
      </c>
      <c r="BH50" s="5">
        <f t="shared" si="25"/>
        <v>0</v>
      </c>
      <c r="BI50" s="5">
        <f t="shared" si="26"/>
        <v>0</v>
      </c>
      <c r="BJ50" s="5">
        <f t="shared" si="27"/>
        <v>0</v>
      </c>
      <c r="BK50" s="5">
        <f t="shared" si="28"/>
        <v>0</v>
      </c>
      <c r="BM50" s="5">
        <f t="shared" si="29"/>
        <v>0</v>
      </c>
      <c r="BN50" s="5">
        <f t="shared" si="30"/>
        <v>0</v>
      </c>
      <c r="BO50" s="5">
        <f t="shared" si="31"/>
        <v>0</v>
      </c>
      <c r="BP50" s="5">
        <f t="shared" si="32"/>
        <v>0</v>
      </c>
      <c r="BR50" s="5">
        <f t="shared" si="33"/>
        <v>0</v>
      </c>
      <c r="BS50" s="5">
        <f t="shared" si="34"/>
        <v>0</v>
      </c>
      <c r="BT50" s="5">
        <f t="shared" si="35"/>
        <v>0</v>
      </c>
      <c r="BU50" s="5">
        <f t="shared" si="36"/>
        <v>0</v>
      </c>
      <c r="BW50" s="5">
        <f t="shared" si="37"/>
        <v>0</v>
      </c>
      <c r="BX50" s="5">
        <f t="shared" si="38"/>
        <v>0</v>
      </c>
      <c r="BY50" s="5">
        <f t="shared" si="39"/>
        <v>0</v>
      </c>
      <c r="BZ50" s="5">
        <f t="shared" si="40"/>
        <v>0</v>
      </c>
      <c r="CB50" s="5">
        <f t="shared" si="41"/>
        <v>0</v>
      </c>
      <c r="CC50" s="5">
        <f t="shared" si="42"/>
        <v>0</v>
      </c>
      <c r="CD50" s="5">
        <f t="shared" si="43"/>
        <v>0</v>
      </c>
      <c r="CE50" s="5">
        <f t="shared" si="44"/>
        <v>0</v>
      </c>
      <c r="CG50" s="5">
        <f t="shared" si="45"/>
        <v>0</v>
      </c>
      <c r="CH50" s="5">
        <f t="shared" si="46"/>
        <v>0</v>
      </c>
      <c r="CI50" s="5">
        <f t="shared" si="47"/>
        <v>0</v>
      </c>
      <c r="CJ50" s="5">
        <f t="shared" si="48"/>
        <v>0</v>
      </c>
      <c r="CL50" s="5">
        <f t="shared" si="49"/>
        <v>0</v>
      </c>
      <c r="CM50" s="5">
        <f t="shared" si="50"/>
        <v>0</v>
      </c>
      <c r="CN50" s="5">
        <f t="shared" si="51"/>
        <v>0</v>
      </c>
      <c r="CO50" s="5">
        <f t="shared" si="52"/>
        <v>0</v>
      </c>
      <c r="CQ50" s="5">
        <f t="shared" si="53"/>
        <v>0</v>
      </c>
      <c r="CR50" s="5">
        <f t="shared" si="54"/>
        <v>0</v>
      </c>
      <c r="CS50" s="5">
        <f t="shared" si="55"/>
        <v>0</v>
      </c>
      <c r="CT50" s="5">
        <f t="shared" si="56"/>
        <v>0</v>
      </c>
      <c r="CV50" s="5">
        <f t="shared" si="57"/>
        <v>0</v>
      </c>
      <c r="CW50" s="5">
        <f t="shared" si="58"/>
        <v>0</v>
      </c>
      <c r="CX50" s="5">
        <f t="shared" si="59"/>
        <v>0</v>
      </c>
      <c r="CY50" s="5">
        <f t="shared" si="60"/>
        <v>0</v>
      </c>
      <c r="DA50" s="5">
        <f t="shared" si="61"/>
        <v>0</v>
      </c>
      <c r="DB50" s="5">
        <f t="shared" si="62"/>
        <v>0</v>
      </c>
      <c r="DC50" s="5">
        <f t="shared" si="63"/>
        <v>0</v>
      </c>
      <c r="DD50" s="5">
        <f t="shared" si="64"/>
        <v>0</v>
      </c>
      <c r="DF50" s="5">
        <f t="shared" si="65"/>
        <v>0</v>
      </c>
      <c r="DG50" s="5">
        <f t="shared" si="66"/>
        <v>0</v>
      </c>
      <c r="DH50" s="5">
        <f t="shared" si="67"/>
        <v>0</v>
      </c>
      <c r="DI50" s="5">
        <f t="shared" si="68"/>
        <v>0</v>
      </c>
      <c r="DK50" s="5">
        <f t="shared" si="69"/>
        <v>0</v>
      </c>
      <c r="DL50" s="5">
        <f t="shared" si="70"/>
        <v>0</v>
      </c>
      <c r="DM50" s="5">
        <f t="shared" si="71"/>
        <v>0</v>
      </c>
      <c r="DN50" s="5">
        <f t="shared" si="72"/>
        <v>0</v>
      </c>
      <c r="DP50" s="5">
        <f t="shared" si="73"/>
        <v>0</v>
      </c>
      <c r="DQ50" s="5">
        <f t="shared" si="74"/>
        <v>0</v>
      </c>
      <c r="DR50" s="5">
        <f t="shared" si="75"/>
        <v>0</v>
      </c>
      <c r="DS50" s="5">
        <f t="shared" si="76"/>
        <v>0</v>
      </c>
      <c r="DU50" s="5">
        <f t="shared" si="77"/>
        <v>0</v>
      </c>
      <c r="DV50" s="5">
        <f t="shared" si="78"/>
        <v>0</v>
      </c>
      <c r="DW50" s="5">
        <f t="shared" si="79"/>
        <v>0</v>
      </c>
      <c r="DX50" s="5">
        <f t="shared" si="80"/>
        <v>0</v>
      </c>
      <c r="ED50" s="5"/>
      <c r="EE50" s="5"/>
      <c r="EF50" s="5"/>
      <c r="EG50" s="5"/>
      <c r="EH50" s="5"/>
      <c r="EI50" s="5"/>
    </row>
    <row r="51" spans="1:139" ht="12" customHeight="1" x14ac:dyDescent="0.2">
      <c r="A51" s="28">
        <v>16528</v>
      </c>
      <c r="C51" s="3">
        <v>5985000</v>
      </c>
      <c r="D51" s="3">
        <v>976600</v>
      </c>
      <c r="E51" s="3">
        <v>285756</v>
      </c>
      <c r="O51" s="3">
        <f t="shared" si="81"/>
        <v>5985000</v>
      </c>
      <c r="P51" s="3">
        <f t="shared" si="0"/>
        <v>976600</v>
      </c>
      <c r="Q51" s="3">
        <f t="shared" si="1"/>
        <v>6961600</v>
      </c>
      <c r="R51" s="3">
        <f t="shared" si="2"/>
        <v>285756</v>
      </c>
      <c r="T51" s="3"/>
      <c r="U51" s="3"/>
      <c r="W51" s="3"/>
      <c r="Y51" s="5">
        <f>AD51+AI51</f>
        <v>5985000</v>
      </c>
      <c r="Z51" s="5">
        <f t="shared" si="4"/>
        <v>976600</v>
      </c>
      <c r="AA51" s="5">
        <f t="shared" si="5"/>
        <v>6961600</v>
      </c>
      <c r="AB51" s="5">
        <f t="shared" si="4"/>
        <v>285756</v>
      </c>
      <c r="AD51" s="5">
        <f>C51*$AE$7</f>
        <v>992388.41100000008</v>
      </c>
      <c r="AE51" s="5">
        <f t="shared" si="82"/>
        <v>161932.58516000002</v>
      </c>
      <c r="AF51" s="5">
        <f t="shared" si="7"/>
        <v>1154320.9961600001</v>
      </c>
      <c r="AG51" s="5">
        <f t="shared" si="8"/>
        <v>47381.945325599998</v>
      </c>
      <c r="AI51" s="5">
        <f>C51*$AJ$7</f>
        <v>4992611.5889999997</v>
      </c>
      <c r="AJ51" s="5">
        <f t="shared" si="83"/>
        <v>814667.41483999998</v>
      </c>
      <c r="AK51" s="5">
        <f t="shared" si="10"/>
        <v>5807279.0038399994</v>
      </c>
      <c r="AL51" s="5">
        <f t="shared" si="11"/>
        <v>238374.05467440002</v>
      </c>
      <c r="AS51" s="3">
        <f t="shared" si="13"/>
        <v>0</v>
      </c>
      <c r="AT51" s="3">
        <f t="shared" si="14"/>
        <v>0</v>
      </c>
      <c r="AU51" s="5">
        <f t="shared" si="15"/>
        <v>0</v>
      </c>
      <c r="AV51" s="3">
        <f t="shared" si="16"/>
        <v>0</v>
      </c>
      <c r="AX51" s="5">
        <f t="shared" si="17"/>
        <v>0</v>
      </c>
      <c r="AY51" s="5">
        <f t="shared" si="18"/>
        <v>0</v>
      </c>
      <c r="AZ51" s="5">
        <f t="shared" si="19"/>
        <v>0</v>
      </c>
      <c r="BA51" s="5">
        <f t="shared" si="20"/>
        <v>0</v>
      </c>
      <c r="BC51" s="5">
        <f t="shared" si="21"/>
        <v>0</v>
      </c>
      <c r="BD51" s="5">
        <f t="shared" si="22"/>
        <v>0</v>
      </c>
      <c r="BE51" s="5">
        <f t="shared" si="23"/>
        <v>0</v>
      </c>
      <c r="BF51" s="5">
        <f t="shared" si="24"/>
        <v>0</v>
      </c>
      <c r="BH51" s="5">
        <f t="shared" si="25"/>
        <v>0</v>
      </c>
      <c r="BI51" s="5">
        <f t="shared" si="26"/>
        <v>0</v>
      </c>
      <c r="BJ51" s="5">
        <f t="shared" si="27"/>
        <v>0</v>
      </c>
      <c r="BK51" s="5">
        <f t="shared" si="28"/>
        <v>0</v>
      </c>
      <c r="BM51" s="5">
        <f t="shared" si="29"/>
        <v>0</v>
      </c>
      <c r="BN51" s="5">
        <f t="shared" si="30"/>
        <v>0</v>
      </c>
      <c r="BO51" s="5">
        <f t="shared" si="31"/>
        <v>0</v>
      </c>
      <c r="BP51" s="5">
        <f t="shared" si="32"/>
        <v>0</v>
      </c>
      <c r="BR51" s="5">
        <f t="shared" si="33"/>
        <v>0</v>
      </c>
      <c r="BS51" s="5">
        <f t="shared" si="34"/>
        <v>0</v>
      </c>
      <c r="BT51" s="5">
        <f t="shared" si="35"/>
        <v>0</v>
      </c>
      <c r="BU51" s="5">
        <f t="shared" si="36"/>
        <v>0</v>
      </c>
      <c r="BW51" s="5">
        <f t="shared" si="37"/>
        <v>0</v>
      </c>
      <c r="BX51" s="5">
        <f t="shared" si="38"/>
        <v>0</v>
      </c>
      <c r="BY51" s="5">
        <f t="shared" si="39"/>
        <v>0</v>
      </c>
      <c r="BZ51" s="5">
        <f t="shared" si="40"/>
        <v>0</v>
      </c>
      <c r="CB51" s="5">
        <f t="shared" si="41"/>
        <v>0</v>
      </c>
      <c r="CC51" s="5">
        <f t="shared" si="42"/>
        <v>0</v>
      </c>
      <c r="CD51" s="5">
        <f t="shared" si="43"/>
        <v>0</v>
      </c>
      <c r="CE51" s="5">
        <f t="shared" si="44"/>
        <v>0</v>
      </c>
      <c r="CG51" s="5">
        <f t="shared" si="45"/>
        <v>0</v>
      </c>
      <c r="CH51" s="5">
        <f t="shared" si="46"/>
        <v>0</v>
      </c>
      <c r="CI51" s="5">
        <f t="shared" si="47"/>
        <v>0</v>
      </c>
      <c r="CJ51" s="5">
        <f t="shared" si="48"/>
        <v>0</v>
      </c>
      <c r="CL51" s="5">
        <f t="shared" si="49"/>
        <v>0</v>
      </c>
      <c r="CM51" s="5">
        <f t="shared" si="50"/>
        <v>0</v>
      </c>
      <c r="CN51" s="5">
        <f t="shared" si="51"/>
        <v>0</v>
      </c>
      <c r="CO51" s="5">
        <f t="shared" si="52"/>
        <v>0</v>
      </c>
      <c r="CQ51" s="5">
        <f t="shared" si="53"/>
        <v>0</v>
      </c>
      <c r="CR51" s="5">
        <f t="shared" si="54"/>
        <v>0</v>
      </c>
      <c r="CS51" s="5">
        <f t="shared" si="55"/>
        <v>0</v>
      </c>
      <c r="CT51" s="5">
        <f t="shared" si="56"/>
        <v>0</v>
      </c>
      <c r="CV51" s="5">
        <f t="shared" si="57"/>
        <v>0</v>
      </c>
      <c r="CW51" s="5">
        <f t="shared" si="58"/>
        <v>0</v>
      </c>
      <c r="CX51" s="5">
        <f t="shared" si="59"/>
        <v>0</v>
      </c>
      <c r="CY51" s="5">
        <f t="shared" si="60"/>
        <v>0</v>
      </c>
      <c r="DA51" s="5">
        <f t="shared" si="61"/>
        <v>0</v>
      </c>
      <c r="DB51" s="5">
        <f t="shared" si="62"/>
        <v>0</v>
      </c>
      <c r="DC51" s="5">
        <f t="shared" si="63"/>
        <v>0</v>
      </c>
      <c r="DD51" s="5">
        <f t="shared" si="64"/>
        <v>0</v>
      </c>
      <c r="DF51" s="5">
        <f t="shared" si="65"/>
        <v>0</v>
      </c>
      <c r="DG51" s="5">
        <f t="shared" si="66"/>
        <v>0</v>
      </c>
      <c r="DH51" s="5">
        <f t="shared" si="67"/>
        <v>0</v>
      </c>
      <c r="DI51" s="5">
        <f t="shared" si="68"/>
        <v>0</v>
      </c>
      <c r="DK51" s="5">
        <f t="shared" si="69"/>
        <v>0</v>
      </c>
      <c r="DL51" s="5">
        <f t="shared" si="70"/>
        <v>0</v>
      </c>
      <c r="DM51" s="5">
        <f t="shared" si="71"/>
        <v>0</v>
      </c>
      <c r="DN51" s="5">
        <f t="shared" si="72"/>
        <v>0</v>
      </c>
      <c r="DP51" s="5">
        <f t="shared" si="73"/>
        <v>0</v>
      </c>
      <c r="DQ51" s="5">
        <f t="shared" si="74"/>
        <v>0</v>
      </c>
      <c r="DR51" s="5">
        <f t="shared" si="75"/>
        <v>0</v>
      </c>
      <c r="DS51" s="5">
        <f t="shared" si="76"/>
        <v>0</v>
      </c>
      <c r="DU51" s="5">
        <f t="shared" si="77"/>
        <v>0</v>
      </c>
      <c r="DV51" s="5">
        <f t="shared" si="78"/>
        <v>0</v>
      </c>
      <c r="DW51" s="5">
        <f t="shared" si="79"/>
        <v>0</v>
      </c>
      <c r="DX51" s="5">
        <f t="shared" si="80"/>
        <v>0</v>
      </c>
      <c r="ED51" s="5"/>
      <c r="EE51" s="5"/>
      <c r="EF51" s="5"/>
      <c r="EG51" s="5"/>
      <c r="EH51" s="5"/>
      <c r="EI51" s="5"/>
    </row>
    <row r="52" spans="1:139" ht="12" customHeight="1" x14ac:dyDescent="0.2">
      <c r="A52" s="28">
        <v>16711</v>
      </c>
      <c r="D52" s="3">
        <v>856900</v>
      </c>
      <c r="E52" s="3">
        <v>285756</v>
      </c>
      <c r="P52" s="3">
        <f t="shared" si="0"/>
        <v>856900</v>
      </c>
      <c r="Q52" s="3">
        <f t="shared" si="1"/>
        <v>856900</v>
      </c>
      <c r="R52" s="3">
        <f t="shared" si="2"/>
        <v>285756</v>
      </c>
      <c r="T52" s="3"/>
      <c r="U52" s="3"/>
      <c r="W52" s="3"/>
      <c r="Z52" s="5">
        <f t="shared" si="4"/>
        <v>856900</v>
      </c>
      <c r="AA52" s="5">
        <f t="shared" si="5"/>
        <v>856900</v>
      </c>
      <c r="AB52" s="5">
        <f t="shared" si="4"/>
        <v>285756</v>
      </c>
      <c r="AD52" s="5"/>
      <c r="AE52" s="5">
        <f t="shared" si="82"/>
        <v>142084.81693999999</v>
      </c>
      <c r="AF52" s="5">
        <f t="shared" si="7"/>
        <v>142084.81693999999</v>
      </c>
      <c r="AG52" s="5">
        <f t="shared" si="8"/>
        <v>47381.945325599998</v>
      </c>
      <c r="AJ52" s="5">
        <f t="shared" si="83"/>
        <v>714815.18306000007</v>
      </c>
      <c r="AK52" s="5">
        <f t="shared" si="10"/>
        <v>714815.18306000007</v>
      </c>
      <c r="AL52" s="5">
        <f t="shared" si="11"/>
        <v>238374.05467440002</v>
      </c>
      <c r="AS52" s="3">
        <f t="shared" si="13"/>
        <v>0</v>
      </c>
      <c r="AT52" s="3">
        <f t="shared" si="14"/>
        <v>0</v>
      </c>
      <c r="AU52" s="5">
        <f t="shared" si="15"/>
        <v>0</v>
      </c>
      <c r="AV52" s="3">
        <f t="shared" si="16"/>
        <v>0</v>
      </c>
      <c r="AX52" s="5">
        <f t="shared" si="17"/>
        <v>0</v>
      </c>
      <c r="AY52" s="5">
        <f t="shared" si="18"/>
        <v>0</v>
      </c>
      <c r="AZ52" s="5">
        <f t="shared" si="19"/>
        <v>0</v>
      </c>
      <c r="BA52" s="5">
        <f t="shared" si="20"/>
        <v>0</v>
      </c>
      <c r="BC52" s="5">
        <f t="shared" si="21"/>
        <v>0</v>
      </c>
      <c r="BD52" s="5">
        <f t="shared" si="22"/>
        <v>0</v>
      </c>
      <c r="BE52" s="5">
        <f t="shared" si="23"/>
        <v>0</v>
      </c>
      <c r="BF52" s="5">
        <f t="shared" si="24"/>
        <v>0</v>
      </c>
      <c r="BH52" s="5">
        <f t="shared" si="25"/>
        <v>0</v>
      </c>
      <c r="BI52" s="5">
        <f t="shared" si="26"/>
        <v>0</v>
      </c>
      <c r="BJ52" s="5">
        <f t="shared" si="27"/>
        <v>0</v>
      </c>
      <c r="BK52" s="5">
        <f t="shared" si="28"/>
        <v>0</v>
      </c>
      <c r="BM52" s="5">
        <f t="shared" si="29"/>
        <v>0</v>
      </c>
      <c r="BN52" s="5">
        <f t="shared" si="30"/>
        <v>0</v>
      </c>
      <c r="BO52" s="5">
        <f t="shared" si="31"/>
        <v>0</v>
      </c>
      <c r="BP52" s="5">
        <f t="shared" si="32"/>
        <v>0</v>
      </c>
      <c r="BR52" s="5">
        <f t="shared" si="33"/>
        <v>0</v>
      </c>
      <c r="BS52" s="5">
        <f t="shared" si="34"/>
        <v>0</v>
      </c>
      <c r="BT52" s="5">
        <f t="shared" si="35"/>
        <v>0</v>
      </c>
      <c r="BU52" s="5">
        <f t="shared" si="36"/>
        <v>0</v>
      </c>
      <c r="BW52" s="5">
        <f t="shared" si="37"/>
        <v>0</v>
      </c>
      <c r="BX52" s="5">
        <f t="shared" si="38"/>
        <v>0</v>
      </c>
      <c r="BY52" s="5">
        <f t="shared" si="39"/>
        <v>0</v>
      </c>
      <c r="BZ52" s="5">
        <f t="shared" si="40"/>
        <v>0</v>
      </c>
      <c r="CB52" s="5">
        <f t="shared" si="41"/>
        <v>0</v>
      </c>
      <c r="CC52" s="5">
        <f t="shared" si="42"/>
        <v>0</v>
      </c>
      <c r="CD52" s="5">
        <f t="shared" si="43"/>
        <v>0</v>
      </c>
      <c r="CE52" s="5">
        <f t="shared" si="44"/>
        <v>0</v>
      </c>
      <c r="CG52" s="5">
        <f t="shared" si="45"/>
        <v>0</v>
      </c>
      <c r="CH52" s="5">
        <f t="shared" si="46"/>
        <v>0</v>
      </c>
      <c r="CI52" s="5">
        <f t="shared" si="47"/>
        <v>0</v>
      </c>
      <c r="CJ52" s="5">
        <f t="shared" si="48"/>
        <v>0</v>
      </c>
      <c r="CL52" s="5">
        <f t="shared" si="49"/>
        <v>0</v>
      </c>
      <c r="CM52" s="5">
        <f t="shared" si="50"/>
        <v>0</v>
      </c>
      <c r="CN52" s="5">
        <f t="shared" si="51"/>
        <v>0</v>
      </c>
      <c r="CO52" s="5">
        <f t="shared" si="52"/>
        <v>0</v>
      </c>
      <c r="CQ52" s="5">
        <f t="shared" si="53"/>
        <v>0</v>
      </c>
      <c r="CR52" s="5">
        <f t="shared" si="54"/>
        <v>0</v>
      </c>
      <c r="CS52" s="5">
        <f t="shared" si="55"/>
        <v>0</v>
      </c>
      <c r="CT52" s="5">
        <f t="shared" si="56"/>
        <v>0</v>
      </c>
      <c r="CV52" s="5">
        <f t="shared" si="57"/>
        <v>0</v>
      </c>
      <c r="CW52" s="5">
        <f t="shared" si="58"/>
        <v>0</v>
      </c>
      <c r="CX52" s="5">
        <f t="shared" si="59"/>
        <v>0</v>
      </c>
      <c r="CY52" s="5">
        <f t="shared" si="60"/>
        <v>0</v>
      </c>
      <c r="DA52" s="5">
        <f t="shared" si="61"/>
        <v>0</v>
      </c>
      <c r="DB52" s="5">
        <f t="shared" si="62"/>
        <v>0</v>
      </c>
      <c r="DC52" s="5">
        <f t="shared" si="63"/>
        <v>0</v>
      </c>
      <c r="DD52" s="5">
        <f t="shared" si="64"/>
        <v>0</v>
      </c>
      <c r="DF52" s="5">
        <f t="shared" si="65"/>
        <v>0</v>
      </c>
      <c r="DG52" s="5">
        <f t="shared" si="66"/>
        <v>0</v>
      </c>
      <c r="DH52" s="5">
        <f t="shared" si="67"/>
        <v>0</v>
      </c>
      <c r="DI52" s="5">
        <f t="shared" si="68"/>
        <v>0</v>
      </c>
      <c r="DK52" s="5">
        <f t="shared" si="69"/>
        <v>0</v>
      </c>
      <c r="DL52" s="5">
        <f t="shared" si="70"/>
        <v>0</v>
      </c>
      <c r="DM52" s="5">
        <f t="shared" si="71"/>
        <v>0</v>
      </c>
      <c r="DN52" s="5">
        <f t="shared" si="72"/>
        <v>0</v>
      </c>
      <c r="DP52" s="5">
        <f t="shared" si="73"/>
        <v>0</v>
      </c>
      <c r="DQ52" s="5">
        <f t="shared" si="74"/>
        <v>0</v>
      </c>
      <c r="DR52" s="5">
        <f t="shared" si="75"/>
        <v>0</v>
      </c>
      <c r="DS52" s="5">
        <f t="shared" si="76"/>
        <v>0</v>
      </c>
      <c r="DU52" s="5">
        <f t="shared" si="77"/>
        <v>0</v>
      </c>
      <c r="DV52" s="5">
        <f t="shared" si="78"/>
        <v>0</v>
      </c>
      <c r="DW52" s="5">
        <f t="shared" si="79"/>
        <v>0</v>
      </c>
      <c r="DX52" s="5">
        <f t="shared" si="80"/>
        <v>0</v>
      </c>
      <c r="ED52" s="5"/>
      <c r="EE52" s="5"/>
      <c r="EF52" s="5"/>
      <c r="EG52" s="5"/>
      <c r="EH52" s="5"/>
      <c r="EI52" s="5"/>
    </row>
    <row r="53" spans="1:139" ht="12" customHeight="1" x14ac:dyDescent="0.2">
      <c r="A53" s="28">
        <v>16893</v>
      </c>
      <c r="C53" s="3">
        <v>6225000</v>
      </c>
      <c r="D53" s="3">
        <v>856900</v>
      </c>
      <c r="E53" s="3">
        <v>285756</v>
      </c>
      <c r="O53" s="3">
        <f t="shared" si="81"/>
        <v>6225000</v>
      </c>
      <c r="P53" s="3">
        <f t="shared" si="0"/>
        <v>856900</v>
      </c>
      <c r="Q53" s="3">
        <f t="shared" si="1"/>
        <v>7081900</v>
      </c>
      <c r="R53" s="3">
        <f t="shared" si="2"/>
        <v>285756</v>
      </c>
      <c r="T53" s="3"/>
      <c r="U53" s="3"/>
      <c r="W53" s="3"/>
      <c r="Y53" s="5">
        <f>AD53+AI53</f>
        <v>6225000</v>
      </c>
      <c r="Z53" s="5">
        <f t="shared" si="4"/>
        <v>856900</v>
      </c>
      <c r="AA53" s="5">
        <f t="shared" si="5"/>
        <v>7081900</v>
      </c>
      <c r="AB53" s="5">
        <f t="shared" si="4"/>
        <v>285756</v>
      </c>
      <c r="AD53" s="5">
        <f>C53*$AE$7</f>
        <v>1032183.4350000001</v>
      </c>
      <c r="AE53" s="5">
        <f t="shared" si="82"/>
        <v>142084.81693999999</v>
      </c>
      <c r="AF53" s="5">
        <f t="shared" si="7"/>
        <v>1174268.2519400001</v>
      </c>
      <c r="AG53" s="5">
        <f t="shared" si="8"/>
        <v>47381.945325599998</v>
      </c>
      <c r="AI53" s="5">
        <f>C53*$AJ$7</f>
        <v>5192816.5650000004</v>
      </c>
      <c r="AJ53" s="5">
        <f t="shared" si="83"/>
        <v>714815.18306000007</v>
      </c>
      <c r="AK53" s="5">
        <f t="shared" si="10"/>
        <v>5907631.7480600001</v>
      </c>
      <c r="AL53" s="5">
        <f t="shared" si="11"/>
        <v>238374.05467440002</v>
      </c>
      <c r="AS53" s="3">
        <f t="shared" si="13"/>
        <v>0</v>
      </c>
      <c r="AT53" s="3">
        <f t="shared" si="14"/>
        <v>0</v>
      </c>
      <c r="AU53" s="5">
        <f t="shared" si="15"/>
        <v>0</v>
      </c>
      <c r="AV53" s="3">
        <f t="shared" si="16"/>
        <v>0</v>
      </c>
      <c r="AX53" s="5">
        <f t="shared" si="17"/>
        <v>0</v>
      </c>
      <c r="AY53" s="5">
        <f t="shared" si="18"/>
        <v>0</v>
      </c>
      <c r="AZ53" s="5">
        <f t="shared" si="19"/>
        <v>0</v>
      </c>
      <c r="BA53" s="5">
        <f t="shared" si="20"/>
        <v>0</v>
      </c>
      <c r="BC53" s="5">
        <f t="shared" si="21"/>
        <v>0</v>
      </c>
      <c r="BD53" s="5">
        <f t="shared" si="22"/>
        <v>0</v>
      </c>
      <c r="BE53" s="5">
        <f t="shared" si="23"/>
        <v>0</v>
      </c>
      <c r="BF53" s="5">
        <f t="shared" si="24"/>
        <v>0</v>
      </c>
      <c r="BH53" s="5">
        <f t="shared" si="25"/>
        <v>0</v>
      </c>
      <c r="BI53" s="5">
        <f t="shared" si="26"/>
        <v>0</v>
      </c>
      <c r="BJ53" s="5">
        <f t="shared" si="27"/>
        <v>0</v>
      </c>
      <c r="BK53" s="5">
        <f t="shared" si="28"/>
        <v>0</v>
      </c>
      <c r="BM53" s="5">
        <f t="shared" si="29"/>
        <v>0</v>
      </c>
      <c r="BN53" s="5">
        <f t="shared" si="30"/>
        <v>0</v>
      </c>
      <c r="BO53" s="5">
        <f t="shared" si="31"/>
        <v>0</v>
      </c>
      <c r="BP53" s="5">
        <f t="shared" si="32"/>
        <v>0</v>
      </c>
      <c r="BR53" s="5">
        <f t="shared" si="33"/>
        <v>0</v>
      </c>
      <c r="BS53" s="5">
        <f t="shared" si="34"/>
        <v>0</v>
      </c>
      <c r="BT53" s="5">
        <f t="shared" si="35"/>
        <v>0</v>
      </c>
      <c r="BU53" s="5">
        <f t="shared" si="36"/>
        <v>0</v>
      </c>
      <c r="BW53" s="5">
        <f t="shared" si="37"/>
        <v>0</v>
      </c>
      <c r="BX53" s="5">
        <f t="shared" si="38"/>
        <v>0</v>
      </c>
      <c r="BY53" s="5">
        <f t="shared" si="39"/>
        <v>0</v>
      </c>
      <c r="BZ53" s="5">
        <f t="shared" si="40"/>
        <v>0</v>
      </c>
      <c r="CB53" s="5">
        <f t="shared" si="41"/>
        <v>0</v>
      </c>
      <c r="CC53" s="5">
        <f t="shared" si="42"/>
        <v>0</v>
      </c>
      <c r="CD53" s="5">
        <f t="shared" si="43"/>
        <v>0</v>
      </c>
      <c r="CE53" s="5">
        <f t="shared" si="44"/>
        <v>0</v>
      </c>
      <c r="CG53" s="5">
        <f t="shared" si="45"/>
        <v>0</v>
      </c>
      <c r="CH53" s="5">
        <f t="shared" si="46"/>
        <v>0</v>
      </c>
      <c r="CI53" s="5">
        <f t="shared" si="47"/>
        <v>0</v>
      </c>
      <c r="CJ53" s="5">
        <f t="shared" si="48"/>
        <v>0</v>
      </c>
      <c r="CL53" s="5">
        <f t="shared" si="49"/>
        <v>0</v>
      </c>
      <c r="CM53" s="5">
        <f t="shared" si="50"/>
        <v>0</v>
      </c>
      <c r="CN53" s="5">
        <f t="shared" si="51"/>
        <v>0</v>
      </c>
      <c r="CO53" s="5">
        <f t="shared" si="52"/>
        <v>0</v>
      </c>
      <c r="CQ53" s="5">
        <f t="shared" si="53"/>
        <v>0</v>
      </c>
      <c r="CR53" s="5">
        <f t="shared" si="54"/>
        <v>0</v>
      </c>
      <c r="CS53" s="5">
        <f t="shared" si="55"/>
        <v>0</v>
      </c>
      <c r="CT53" s="5">
        <f t="shared" si="56"/>
        <v>0</v>
      </c>
      <c r="CV53" s="5">
        <f t="shared" si="57"/>
        <v>0</v>
      </c>
      <c r="CW53" s="5">
        <f t="shared" si="58"/>
        <v>0</v>
      </c>
      <c r="CX53" s="5">
        <f t="shared" si="59"/>
        <v>0</v>
      </c>
      <c r="CY53" s="5">
        <f t="shared" si="60"/>
        <v>0</v>
      </c>
      <c r="DA53" s="5">
        <f t="shared" si="61"/>
        <v>0</v>
      </c>
      <c r="DB53" s="5">
        <f t="shared" si="62"/>
        <v>0</v>
      </c>
      <c r="DC53" s="5">
        <f t="shared" si="63"/>
        <v>0</v>
      </c>
      <c r="DD53" s="5">
        <f t="shared" si="64"/>
        <v>0</v>
      </c>
      <c r="DF53" s="5">
        <f t="shared" si="65"/>
        <v>0</v>
      </c>
      <c r="DG53" s="5">
        <f t="shared" si="66"/>
        <v>0</v>
      </c>
      <c r="DH53" s="5">
        <f t="shared" si="67"/>
        <v>0</v>
      </c>
      <c r="DI53" s="5">
        <f t="shared" si="68"/>
        <v>0</v>
      </c>
      <c r="DK53" s="5">
        <f t="shared" si="69"/>
        <v>0</v>
      </c>
      <c r="DL53" s="5">
        <f t="shared" si="70"/>
        <v>0</v>
      </c>
      <c r="DM53" s="5">
        <f t="shared" si="71"/>
        <v>0</v>
      </c>
      <c r="DN53" s="5">
        <f t="shared" si="72"/>
        <v>0</v>
      </c>
      <c r="DP53" s="5">
        <f t="shared" si="73"/>
        <v>0</v>
      </c>
      <c r="DQ53" s="5">
        <f t="shared" si="74"/>
        <v>0</v>
      </c>
      <c r="DR53" s="5">
        <f t="shared" si="75"/>
        <v>0</v>
      </c>
      <c r="DS53" s="5">
        <f t="shared" si="76"/>
        <v>0</v>
      </c>
      <c r="DU53" s="5">
        <f t="shared" si="77"/>
        <v>0</v>
      </c>
      <c r="DV53" s="5">
        <f t="shared" si="78"/>
        <v>0</v>
      </c>
      <c r="DW53" s="5">
        <f t="shared" si="79"/>
        <v>0</v>
      </c>
      <c r="DX53" s="5">
        <f t="shared" si="80"/>
        <v>0</v>
      </c>
      <c r="ED53" s="5"/>
      <c r="EE53" s="5"/>
      <c r="EF53" s="5"/>
      <c r="EG53" s="5"/>
      <c r="EH53" s="5"/>
      <c r="EI53" s="5"/>
    </row>
    <row r="54" spans="1:139" ht="12" customHeight="1" x14ac:dyDescent="0.2">
      <c r="A54" s="28">
        <v>17076</v>
      </c>
      <c r="D54" s="3">
        <v>732400</v>
      </c>
      <c r="E54" s="3">
        <v>285756</v>
      </c>
      <c r="P54" s="3">
        <f t="shared" si="0"/>
        <v>732400</v>
      </c>
      <c r="Q54" s="3">
        <f t="shared" si="1"/>
        <v>732400</v>
      </c>
      <c r="R54" s="3">
        <f t="shared" si="2"/>
        <v>285756</v>
      </c>
      <c r="T54" s="3"/>
      <c r="U54" s="3"/>
      <c r="W54" s="3"/>
      <c r="Z54" s="5">
        <f t="shared" si="4"/>
        <v>732400</v>
      </c>
      <c r="AA54" s="5">
        <f t="shared" si="5"/>
        <v>732400</v>
      </c>
      <c r="AB54" s="5">
        <f t="shared" si="4"/>
        <v>285756</v>
      </c>
      <c r="AD54" s="5"/>
      <c r="AE54" s="5">
        <f t="shared" si="82"/>
        <v>121441.14824000001</v>
      </c>
      <c r="AF54" s="5">
        <f t="shared" si="7"/>
        <v>121441.14824000001</v>
      </c>
      <c r="AG54" s="5">
        <f t="shared" si="8"/>
        <v>47381.945325599998</v>
      </c>
      <c r="AJ54" s="5">
        <f t="shared" si="83"/>
        <v>610958.85175999999</v>
      </c>
      <c r="AK54" s="5">
        <f t="shared" si="10"/>
        <v>610958.85175999999</v>
      </c>
      <c r="AL54" s="5">
        <f t="shared" si="11"/>
        <v>238374.05467440002</v>
      </c>
      <c r="AS54" s="3">
        <f t="shared" si="13"/>
        <v>0</v>
      </c>
      <c r="AT54" s="3">
        <f t="shared" si="14"/>
        <v>0</v>
      </c>
      <c r="AU54" s="5">
        <f t="shared" si="15"/>
        <v>0</v>
      </c>
      <c r="AV54" s="3">
        <f t="shared" si="16"/>
        <v>0</v>
      </c>
      <c r="AX54" s="5">
        <f t="shared" si="17"/>
        <v>0</v>
      </c>
      <c r="AY54" s="5">
        <f t="shared" si="18"/>
        <v>0</v>
      </c>
      <c r="AZ54" s="5">
        <f t="shared" si="19"/>
        <v>0</v>
      </c>
      <c r="BA54" s="5">
        <f t="shared" si="20"/>
        <v>0</v>
      </c>
      <c r="BC54" s="5">
        <f t="shared" si="21"/>
        <v>0</v>
      </c>
      <c r="BD54" s="5">
        <f t="shared" si="22"/>
        <v>0</v>
      </c>
      <c r="BE54" s="5">
        <f t="shared" si="23"/>
        <v>0</v>
      </c>
      <c r="BF54" s="5">
        <f t="shared" si="24"/>
        <v>0</v>
      </c>
      <c r="BH54" s="5">
        <f t="shared" si="25"/>
        <v>0</v>
      </c>
      <c r="BI54" s="5">
        <f t="shared" si="26"/>
        <v>0</v>
      </c>
      <c r="BJ54" s="5">
        <f t="shared" si="27"/>
        <v>0</v>
      </c>
      <c r="BK54" s="5">
        <f t="shared" si="28"/>
        <v>0</v>
      </c>
      <c r="BM54" s="5">
        <f t="shared" si="29"/>
        <v>0</v>
      </c>
      <c r="BN54" s="5">
        <f t="shared" si="30"/>
        <v>0</v>
      </c>
      <c r="BO54" s="5">
        <f t="shared" si="31"/>
        <v>0</v>
      </c>
      <c r="BP54" s="5">
        <f t="shared" si="32"/>
        <v>0</v>
      </c>
      <c r="BR54" s="5">
        <f t="shared" si="33"/>
        <v>0</v>
      </c>
      <c r="BS54" s="5">
        <f t="shared" si="34"/>
        <v>0</v>
      </c>
      <c r="BT54" s="5">
        <f t="shared" si="35"/>
        <v>0</v>
      </c>
      <c r="BU54" s="5">
        <f t="shared" si="36"/>
        <v>0</v>
      </c>
      <c r="BW54" s="5">
        <f t="shared" si="37"/>
        <v>0</v>
      </c>
      <c r="BX54" s="5">
        <f t="shared" si="38"/>
        <v>0</v>
      </c>
      <c r="BY54" s="5">
        <f t="shared" si="39"/>
        <v>0</v>
      </c>
      <c r="BZ54" s="5">
        <f t="shared" si="40"/>
        <v>0</v>
      </c>
      <c r="CB54" s="5">
        <f t="shared" si="41"/>
        <v>0</v>
      </c>
      <c r="CC54" s="5">
        <f t="shared" si="42"/>
        <v>0</v>
      </c>
      <c r="CD54" s="5">
        <f t="shared" si="43"/>
        <v>0</v>
      </c>
      <c r="CE54" s="5">
        <f t="shared" si="44"/>
        <v>0</v>
      </c>
      <c r="CG54" s="5">
        <f t="shared" si="45"/>
        <v>0</v>
      </c>
      <c r="CH54" s="5">
        <f t="shared" si="46"/>
        <v>0</v>
      </c>
      <c r="CI54" s="5">
        <f t="shared" si="47"/>
        <v>0</v>
      </c>
      <c r="CJ54" s="5">
        <f t="shared" si="48"/>
        <v>0</v>
      </c>
      <c r="CL54" s="5">
        <f t="shared" si="49"/>
        <v>0</v>
      </c>
      <c r="CM54" s="5">
        <f t="shared" si="50"/>
        <v>0</v>
      </c>
      <c r="CN54" s="5">
        <f t="shared" si="51"/>
        <v>0</v>
      </c>
      <c r="CO54" s="5">
        <f t="shared" si="52"/>
        <v>0</v>
      </c>
      <c r="CQ54" s="5">
        <f t="shared" si="53"/>
        <v>0</v>
      </c>
      <c r="CR54" s="5">
        <f t="shared" si="54"/>
        <v>0</v>
      </c>
      <c r="CS54" s="5">
        <f t="shared" si="55"/>
        <v>0</v>
      </c>
      <c r="CT54" s="5">
        <f t="shared" si="56"/>
        <v>0</v>
      </c>
      <c r="CV54" s="5">
        <f t="shared" si="57"/>
        <v>0</v>
      </c>
      <c r="CW54" s="5">
        <f t="shared" si="58"/>
        <v>0</v>
      </c>
      <c r="CX54" s="5">
        <f t="shared" si="59"/>
        <v>0</v>
      </c>
      <c r="CY54" s="5">
        <f t="shared" si="60"/>
        <v>0</v>
      </c>
      <c r="DA54" s="5">
        <f t="shared" si="61"/>
        <v>0</v>
      </c>
      <c r="DB54" s="5">
        <f t="shared" si="62"/>
        <v>0</v>
      </c>
      <c r="DC54" s="5">
        <f t="shared" si="63"/>
        <v>0</v>
      </c>
      <c r="DD54" s="5">
        <f t="shared" si="64"/>
        <v>0</v>
      </c>
      <c r="DF54" s="5">
        <f t="shared" si="65"/>
        <v>0</v>
      </c>
      <c r="DG54" s="5">
        <f t="shared" si="66"/>
        <v>0</v>
      </c>
      <c r="DH54" s="5">
        <f t="shared" si="67"/>
        <v>0</v>
      </c>
      <c r="DI54" s="5">
        <f t="shared" si="68"/>
        <v>0</v>
      </c>
      <c r="DK54" s="5">
        <f t="shared" si="69"/>
        <v>0</v>
      </c>
      <c r="DL54" s="5">
        <f t="shared" si="70"/>
        <v>0</v>
      </c>
      <c r="DM54" s="5">
        <f t="shared" si="71"/>
        <v>0</v>
      </c>
      <c r="DN54" s="5">
        <f t="shared" si="72"/>
        <v>0</v>
      </c>
      <c r="DP54" s="5">
        <f t="shared" si="73"/>
        <v>0</v>
      </c>
      <c r="DQ54" s="5">
        <f t="shared" si="74"/>
        <v>0</v>
      </c>
      <c r="DR54" s="5">
        <f t="shared" si="75"/>
        <v>0</v>
      </c>
      <c r="DS54" s="5">
        <f t="shared" si="76"/>
        <v>0</v>
      </c>
      <c r="DU54" s="5">
        <f t="shared" si="77"/>
        <v>0</v>
      </c>
      <c r="DV54" s="5">
        <f t="shared" si="78"/>
        <v>0</v>
      </c>
      <c r="DW54" s="5">
        <f t="shared" si="79"/>
        <v>0</v>
      </c>
      <c r="DX54" s="5">
        <f t="shared" si="80"/>
        <v>0</v>
      </c>
      <c r="ED54" s="5"/>
      <c r="EE54" s="5"/>
      <c r="EF54" s="5"/>
      <c r="EG54" s="5"/>
      <c r="EH54" s="5"/>
      <c r="EI54" s="5"/>
    </row>
    <row r="55" spans="1:139" ht="12" customHeight="1" x14ac:dyDescent="0.2">
      <c r="A55" s="28">
        <v>17258</v>
      </c>
      <c r="C55" s="3">
        <v>6470000</v>
      </c>
      <c r="D55" s="3">
        <v>732400</v>
      </c>
      <c r="E55" s="3">
        <v>285756</v>
      </c>
      <c r="O55" s="3">
        <f t="shared" si="81"/>
        <v>6470000</v>
      </c>
      <c r="P55" s="3">
        <f t="shared" si="0"/>
        <v>732400</v>
      </c>
      <c r="Q55" s="3">
        <f t="shared" si="1"/>
        <v>7202400</v>
      </c>
      <c r="R55" s="3">
        <f t="shared" si="2"/>
        <v>285756</v>
      </c>
      <c r="T55" s="3"/>
      <c r="U55" s="3"/>
      <c r="W55" s="3"/>
      <c r="Y55" s="5">
        <f>AD55+AI55</f>
        <v>6470000</v>
      </c>
      <c r="Z55" s="5">
        <f t="shared" si="4"/>
        <v>732400</v>
      </c>
      <c r="AA55" s="5">
        <f t="shared" si="5"/>
        <v>7202400</v>
      </c>
      <c r="AB55" s="5">
        <f t="shared" si="4"/>
        <v>285756</v>
      </c>
      <c r="AD55" s="5">
        <f>C55*$AE$7</f>
        <v>1072807.5220000001</v>
      </c>
      <c r="AE55" s="5">
        <f t="shared" si="82"/>
        <v>121441.14824000001</v>
      </c>
      <c r="AF55" s="5">
        <f t="shared" si="7"/>
        <v>1194248.6702400001</v>
      </c>
      <c r="AG55" s="5">
        <f t="shared" si="8"/>
        <v>47381.945325599998</v>
      </c>
      <c r="AI55" s="5">
        <f>C55*$AJ$7</f>
        <v>5397192.4780000001</v>
      </c>
      <c r="AJ55" s="5">
        <f t="shared" si="83"/>
        <v>610958.85175999999</v>
      </c>
      <c r="AK55" s="5">
        <f t="shared" si="10"/>
        <v>6008151.3297600001</v>
      </c>
      <c r="AL55" s="5">
        <f t="shared" si="11"/>
        <v>238374.05467440002</v>
      </c>
      <c r="AS55" s="3">
        <f t="shared" si="13"/>
        <v>0</v>
      </c>
      <c r="AT55" s="3">
        <f t="shared" si="14"/>
        <v>0</v>
      </c>
      <c r="AU55" s="5">
        <f t="shared" si="15"/>
        <v>0</v>
      </c>
      <c r="AV55" s="3">
        <f t="shared" si="16"/>
        <v>0</v>
      </c>
      <c r="AX55" s="5">
        <f t="shared" si="17"/>
        <v>0</v>
      </c>
      <c r="AY55" s="5">
        <f t="shared" si="18"/>
        <v>0</v>
      </c>
      <c r="AZ55" s="5">
        <f t="shared" si="19"/>
        <v>0</v>
      </c>
      <c r="BA55" s="5">
        <f t="shared" si="20"/>
        <v>0</v>
      </c>
      <c r="BC55" s="5">
        <f t="shared" si="21"/>
        <v>0</v>
      </c>
      <c r="BD55" s="5">
        <f t="shared" si="22"/>
        <v>0</v>
      </c>
      <c r="BE55" s="5">
        <f t="shared" si="23"/>
        <v>0</v>
      </c>
      <c r="BF55" s="5">
        <f t="shared" si="24"/>
        <v>0</v>
      </c>
      <c r="BH55" s="5">
        <f t="shared" si="25"/>
        <v>0</v>
      </c>
      <c r="BI55" s="5">
        <f t="shared" si="26"/>
        <v>0</v>
      </c>
      <c r="BJ55" s="5">
        <f t="shared" si="27"/>
        <v>0</v>
      </c>
      <c r="BK55" s="5">
        <f t="shared" si="28"/>
        <v>0</v>
      </c>
      <c r="BM55" s="5">
        <f t="shared" si="29"/>
        <v>0</v>
      </c>
      <c r="BN55" s="5">
        <f t="shared" si="30"/>
        <v>0</v>
      </c>
      <c r="BO55" s="5">
        <f t="shared" si="31"/>
        <v>0</v>
      </c>
      <c r="BP55" s="5">
        <f t="shared" si="32"/>
        <v>0</v>
      </c>
      <c r="BR55" s="5">
        <f t="shared" si="33"/>
        <v>0</v>
      </c>
      <c r="BS55" s="5">
        <f t="shared" si="34"/>
        <v>0</v>
      </c>
      <c r="BT55" s="5">
        <f t="shared" si="35"/>
        <v>0</v>
      </c>
      <c r="BU55" s="5">
        <f t="shared" si="36"/>
        <v>0</v>
      </c>
      <c r="BW55" s="5">
        <f t="shared" si="37"/>
        <v>0</v>
      </c>
      <c r="BX55" s="5">
        <f t="shared" si="38"/>
        <v>0</v>
      </c>
      <c r="BY55" s="5">
        <f t="shared" si="39"/>
        <v>0</v>
      </c>
      <c r="BZ55" s="5">
        <f t="shared" si="40"/>
        <v>0</v>
      </c>
      <c r="CB55" s="5">
        <f t="shared" si="41"/>
        <v>0</v>
      </c>
      <c r="CC55" s="5">
        <f t="shared" si="42"/>
        <v>0</v>
      </c>
      <c r="CD55" s="5">
        <f t="shared" si="43"/>
        <v>0</v>
      </c>
      <c r="CE55" s="5">
        <f t="shared" si="44"/>
        <v>0</v>
      </c>
      <c r="CG55" s="5">
        <f t="shared" si="45"/>
        <v>0</v>
      </c>
      <c r="CH55" s="5">
        <f t="shared" si="46"/>
        <v>0</v>
      </c>
      <c r="CI55" s="5">
        <f t="shared" si="47"/>
        <v>0</v>
      </c>
      <c r="CJ55" s="5">
        <f t="shared" si="48"/>
        <v>0</v>
      </c>
      <c r="CL55" s="5">
        <f t="shared" si="49"/>
        <v>0</v>
      </c>
      <c r="CM55" s="5">
        <f t="shared" si="50"/>
        <v>0</v>
      </c>
      <c r="CN55" s="5">
        <f t="shared" si="51"/>
        <v>0</v>
      </c>
      <c r="CO55" s="5">
        <f t="shared" si="52"/>
        <v>0</v>
      </c>
      <c r="CQ55" s="5">
        <f t="shared" si="53"/>
        <v>0</v>
      </c>
      <c r="CR55" s="5">
        <f t="shared" si="54"/>
        <v>0</v>
      </c>
      <c r="CS55" s="5">
        <f t="shared" si="55"/>
        <v>0</v>
      </c>
      <c r="CT55" s="5">
        <f t="shared" si="56"/>
        <v>0</v>
      </c>
      <c r="CV55" s="5">
        <f t="shared" si="57"/>
        <v>0</v>
      </c>
      <c r="CW55" s="5">
        <f t="shared" si="58"/>
        <v>0</v>
      </c>
      <c r="CX55" s="5">
        <f t="shared" si="59"/>
        <v>0</v>
      </c>
      <c r="CY55" s="5">
        <f t="shared" si="60"/>
        <v>0</v>
      </c>
      <c r="DA55" s="5">
        <f t="shared" si="61"/>
        <v>0</v>
      </c>
      <c r="DB55" s="5">
        <f t="shared" si="62"/>
        <v>0</v>
      </c>
      <c r="DC55" s="5">
        <f t="shared" si="63"/>
        <v>0</v>
      </c>
      <c r="DD55" s="5">
        <f t="shared" si="64"/>
        <v>0</v>
      </c>
      <c r="DF55" s="5">
        <f t="shared" si="65"/>
        <v>0</v>
      </c>
      <c r="DG55" s="5">
        <f t="shared" si="66"/>
        <v>0</v>
      </c>
      <c r="DH55" s="5">
        <f t="shared" si="67"/>
        <v>0</v>
      </c>
      <c r="DI55" s="5">
        <f t="shared" si="68"/>
        <v>0</v>
      </c>
      <c r="DK55" s="5">
        <f t="shared" si="69"/>
        <v>0</v>
      </c>
      <c r="DL55" s="5">
        <f t="shared" si="70"/>
        <v>0</v>
      </c>
      <c r="DM55" s="5">
        <f t="shared" si="71"/>
        <v>0</v>
      </c>
      <c r="DN55" s="5">
        <f t="shared" si="72"/>
        <v>0</v>
      </c>
      <c r="DP55" s="5">
        <f t="shared" si="73"/>
        <v>0</v>
      </c>
      <c r="DQ55" s="5">
        <f t="shared" si="74"/>
        <v>0</v>
      </c>
      <c r="DR55" s="5">
        <f t="shared" si="75"/>
        <v>0</v>
      </c>
      <c r="DS55" s="5">
        <f t="shared" si="76"/>
        <v>0</v>
      </c>
      <c r="DU55" s="5">
        <f t="shared" si="77"/>
        <v>0</v>
      </c>
      <c r="DV55" s="5">
        <f t="shared" si="78"/>
        <v>0</v>
      </c>
      <c r="DW55" s="5">
        <f t="shared" si="79"/>
        <v>0</v>
      </c>
      <c r="DX55" s="5">
        <f t="shared" si="80"/>
        <v>0</v>
      </c>
      <c r="ED55" s="5"/>
      <c r="EE55" s="5"/>
      <c r="EF55" s="5"/>
      <c r="EG55" s="5"/>
      <c r="EH55" s="5"/>
      <c r="EI55" s="5"/>
    </row>
    <row r="56" spans="1:139" ht="12" customHeight="1" x14ac:dyDescent="0.2">
      <c r="A56" s="28">
        <v>17441</v>
      </c>
      <c r="D56" s="3">
        <v>603000</v>
      </c>
      <c r="E56" s="3">
        <v>285756</v>
      </c>
      <c r="P56" s="3">
        <f t="shared" si="0"/>
        <v>603000</v>
      </c>
      <c r="Q56" s="3">
        <f t="shared" si="1"/>
        <v>603000</v>
      </c>
      <c r="R56" s="3">
        <f t="shared" si="2"/>
        <v>285756</v>
      </c>
      <c r="T56" s="3"/>
      <c r="U56" s="3"/>
      <c r="W56" s="3"/>
      <c r="Z56" s="5">
        <f t="shared" si="4"/>
        <v>603000</v>
      </c>
      <c r="AA56" s="5">
        <f t="shared" si="5"/>
        <v>603000</v>
      </c>
      <c r="AB56" s="5">
        <f t="shared" si="4"/>
        <v>285756</v>
      </c>
      <c r="AD56" s="5"/>
      <c r="AE56" s="5">
        <f t="shared" si="82"/>
        <v>99984.997799999997</v>
      </c>
      <c r="AF56" s="5">
        <f t="shared" si="7"/>
        <v>99984.997799999997</v>
      </c>
      <c r="AG56" s="5">
        <f t="shared" si="8"/>
        <v>47381.945325599998</v>
      </c>
      <c r="AJ56" s="5">
        <f t="shared" si="83"/>
        <v>503015.00219999999</v>
      </c>
      <c r="AK56" s="5">
        <f t="shared" si="10"/>
        <v>503015.00219999999</v>
      </c>
      <c r="AL56" s="5">
        <f t="shared" si="11"/>
        <v>238374.05467440002</v>
      </c>
      <c r="AS56" s="3">
        <f t="shared" si="13"/>
        <v>0</v>
      </c>
      <c r="AT56" s="3">
        <f t="shared" si="14"/>
        <v>0</v>
      </c>
      <c r="AU56" s="5">
        <f t="shared" si="15"/>
        <v>0</v>
      </c>
      <c r="AV56" s="3">
        <f t="shared" si="16"/>
        <v>0</v>
      </c>
      <c r="AX56" s="5">
        <f t="shared" si="17"/>
        <v>0</v>
      </c>
      <c r="AY56" s="5">
        <f t="shared" si="18"/>
        <v>0</v>
      </c>
      <c r="AZ56" s="5">
        <f t="shared" si="19"/>
        <v>0</v>
      </c>
      <c r="BA56" s="5">
        <f t="shared" si="20"/>
        <v>0</v>
      </c>
      <c r="BC56" s="5">
        <f t="shared" si="21"/>
        <v>0</v>
      </c>
      <c r="BD56" s="5">
        <f t="shared" si="22"/>
        <v>0</v>
      </c>
      <c r="BE56" s="5">
        <f t="shared" si="23"/>
        <v>0</v>
      </c>
      <c r="BF56" s="5">
        <f t="shared" si="24"/>
        <v>0</v>
      </c>
      <c r="BH56" s="5">
        <f t="shared" si="25"/>
        <v>0</v>
      </c>
      <c r="BI56" s="5">
        <f t="shared" si="26"/>
        <v>0</v>
      </c>
      <c r="BJ56" s="5">
        <f t="shared" si="27"/>
        <v>0</v>
      </c>
      <c r="BK56" s="5">
        <f t="shared" si="28"/>
        <v>0</v>
      </c>
      <c r="BM56" s="5">
        <f t="shared" si="29"/>
        <v>0</v>
      </c>
      <c r="BN56" s="5">
        <f t="shared" si="30"/>
        <v>0</v>
      </c>
      <c r="BO56" s="5">
        <f t="shared" si="31"/>
        <v>0</v>
      </c>
      <c r="BP56" s="5">
        <f t="shared" si="32"/>
        <v>0</v>
      </c>
      <c r="BR56" s="5">
        <f t="shared" si="33"/>
        <v>0</v>
      </c>
      <c r="BS56" s="5">
        <f t="shared" si="34"/>
        <v>0</v>
      </c>
      <c r="BT56" s="5">
        <f t="shared" si="35"/>
        <v>0</v>
      </c>
      <c r="BU56" s="5">
        <f t="shared" si="36"/>
        <v>0</v>
      </c>
      <c r="BW56" s="5">
        <f t="shared" si="37"/>
        <v>0</v>
      </c>
      <c r="BX56" s="5">
        <f t="shared" si="38"/>
        <v>0</v>
      </c>
      <c r="BY56" s="5">
        <f t="shared" si="39"/>
        <v>0</v>
      </c>
      <c r="BZ56" s="5">
        <f t="shared" si="40"/>
        <v>0</v>
      </c>
      <c r="CB56" s="5">
        <f t="shared" si="41"/>
        <v>0</v>
      </c>
      <c r="CC56" s="5">
        <f t="shared" si="42"/>
        <v>0</v>
      </c>
      <c r="CD56" s="5">
        <f t="shared" si="43"/>
        <v>0</v>
      </c>
      <c r="CE56" s="5">
        <f t="shared" si="44"/>
        <v>0</v>
      </c>
      <c r="CG56" s="5">
        <f t="shared" si="45"/>
        <v>0</v>
      </c>
      <c r="CH56" s="5">
        <f t="shared" si="46"/>
        <v>0</v>
      </c>
      <c r="CI56" s="5">
        <f t="shared" si="47"/>
        <v>0</v>
      </c>
      <c r="CJ56" s="5">
        <f t="shared" si="48"/>
        <v>0</v>
      </c>
      <c r="CL56" s="5">
        <f t="shared" si="49"/>
        <v>0</v>
      </c>
      <c r="CM56" s="5">
        <f t="shared" si="50"/>
        <v>0</v>
      </c>
      <c r="CN56" s="5">
        <f t="shared" si="51"/>
        <v>0</v>
      </c>
      <c r="CO56" s="5">
        <f t="shared" si="52"/>
        <v>0</v>
      </c>
      <c r="CQ56" s="5">
        <f t="shared" si="53"/>
        <v>0</v>
      </c>
      <c r="CR56" s="5">
        <f t="shared" si="54"/>
        <v>0</v>
      </c>
      <c r="CS56" s="5">
        <f t="shared" si="55"/>
        <v>0</v>
      </c>
      <c r="CT56" s="5">
        <f t="shared" si="56"/>
        <v>0</v>
      </c>
      <c r="CV56" s="5">
        <f t="shared" si="57"/>
        <v>0</v>
      </c>
      <c r="CW56" s="5">
        <f t="shared" si="58"/>
        <v>0</v>
      </c>
      <c r="CX56" s="5">
        <f t="shared" si="59"/>
        <v>0</v>
      </c>
      <c r="CY56" s="5">
        <f t="shared" si="60"/>
        <v>0</v>
      </c>
      <c r="DA56" s="5">
        <f t="shared" si="61"/>
        <v>0</v>
      </c>
      <c r="DB56" s="5">
        <f t="shared" si="62"/>
        <v>0</v>
      </c>
      <c r="DC56" s="5">
        <f t="shared" si="63"/>
        <v>0</v>
      </c>
      <c r="DD56" s="5">
        <f t="shared" si="64"/>
        <v>0</v>
      </c>
      <c r="DF56" s="5">
        <f t="shared" si="65"/>
        <v>0</v>
      </c>
      <c r="DG56" s="5">
        <f t="shared" si="66"/>
        <v>0</v>
      </c>
      <c r="DH56" s="5">
        <f t="shared" si="67"/>
        <v>0</v>
      </c>
      <c r="DI56" s="5">
        <f t="shared" si="68"/>
        <v>0</v>
      </c>
      <c r="DK56" s="5">
        <f t="shared" si="69"/>
        <v>0</v>
      </c>
      <c r="DL56" s="5">
        <f t="shared" si="70"/>
        <v>0</v>
      </c>
      <c r="DM56" s="5">
        <f t="shared" si="71"/>
        <v>0</v>
      </c>
      <c r="DN56" s="5">
        <f t="shared" si="72"/>
        <v>0</v>
      </c>
      <c r="DP56" s="5">
        <f t="shared" si="73"/>
        <v>0</v>
      </c>
      <c r="DQ56" s="5">
        <f t="shared" si="74"/>
        <v>0</v>
      </c>
      <c r="DR56" s="5">
        <f t="shared" si="75"/>
        <v>0</v>
      </c>
      <c r="DS56" s="5">
        <f t="shared" si="76"/>
        <v>0</v>
      </c>
      <c r="DU56" s="5">
        <f t="shared" si="77"/>
        <v>0</v>
      </c>
      <c r="DV56" s="5">
        <f t="shared" si="78"/>
        <v>0</v>
      </c>
      <c r="DW56" s="5">
        <f t="shared" si="79"/>
        <v>0</v>
      </c>
      <c r="DX56" s="5">
        <f t="shared" si="80"/>
        <v>0</v>
      </c>
      <c r="ED56" s="5"/>
      <c r="EE56" s="5"/>
      <c r="EF56" s="5"/>
      <c r="EG56" s="5"/>
      <c r="EH56" s="5"/>
      <c r="EI56" s="5"/>
    </row>
    <row r="57" spans="1:139" ht="12" customHeight="1" x14ac:dyDescent="0.2">
      <c r="A57" s="28">
        <v>17624</v>
      </c>
      <c r="C57" s="3">
        <v>7100000</v>
      </c>
      <c r="D57" s="3">
        <v>603000</v>
      </c>
      <c r="E57" s="3">
        <v>285756</v>
      </c>
      <c r="O57" s="3">
        <f t="shared" si="81"/>
        <v>7100000</v>
      </c>
      <c r="P57" s="3">
        <f t="shared" si="0"/>
        <v>603000</v>
      </c>
      <c r="Q57" s="3">
        <f t="shared" si="1"/>
        <v>7703000</v>
      </c>
      <c r="R57" s="3">
        <f t="shared" si="2"/>
        <v>285756</v>
      </c>
      <c r="T57" s="3"/>
      <c r="U57" s="3"/>
      <c r="W57" s="3"/>
      <c r="Y57" s="5">
        <f>AD57+AI57</f>
        <v>7100000</v>
      </c>
      <c r="Z57" s="5">
        <f t="shared" si="4"/>
        <v>603000</v>
      </c>
      <c r="AA57" s="5">
        <f t="shared" si="5"/>
        <v>7703000</v>
      </c>
      <c r="AB57" s="5">
        <f t="shared" si="4"/>
        <v>285756</v>
      </c>
      <c r="AD57" s="5">
        <f>C57*$AE$7</f>
        <v>1177269.46</v>
      </c>
      <c r="AE57" s="5">
        <f t="shared" si="82"/>
        <v>99984.997799999997</v>
      </c>
      <c r="AF57" s="5">
        <f t="shared" si="7"/>
        <v>1277254.4578</v>
      </c>
      <c r="AG57" s="5">
        <f t="shared" si="8"/>
        <v>47381.945325599998</v>
      </c>
      <c r="AI57" s="5">
        <f>C57*$AJ$7</f>
        <v>5922730.54</v>
      </c>
      <c r="AJ57" s="5">
        <f t="shared" si="83"/>
        <v>503015.00219999999</v>
      </c>
      <c r="AK57" s="5">
        <f t="shared" si="10"/>
        <v>6425745.5422</v>
      </c>
      <c r="AL57" s="5">
        <f t="shared" si="11"/>
        <v>238374.05467440002</v>
      </c>
      <c r="AS57" s="3">
        <f t="shared" si="13"/>
        <v>0</v>
      </c>
      <c r="AT57" s="3">
        <f t="shared" si="14"/>
        <v>0</v>
      </c>
      <c r="AU57" s="5">
        <f t="shared" si="15"/>
        <v>0</v>
      </c>
      <c r="AV57" s="3">
        <f t="shared" si="16"/>
        <v>0</v>
      </c>
      <c r="AX57" s="5">
        <f t="shared" si="17"/>
        <v>0</v>
      </c>
      <c r="AY57" s="5">
        <f t="shared" si="18"/>
        <v>0</v>
      </c>
      <c r="AZ57" s="5">
        <f t="shared" si="19"/>
        <v>0</v>
      </c>
      <c r="BA57" s="5">
        <f t="shared" si="20"/>
        <v>0</v>
      </c>
      <c r="BC57" s="5">
        <f t="shared" si="21"/>
        <v>0</v>
      </c>
      <c r="BD57" s="5">
        <f t="shared" si="22"/>
        <v>0</v>
      </c>
      <c r="BE57" s="5">
        <f t="shared" si="23"/>
        <v>0</v>
      </c>
      <c r="BF57" s="5">
        <f t="shared" si="24"/>
        <v>0</v>
      </c>
      <c r="BH57" s="5">
        <f t="shared" si="25"/>
        <v>0</v>
      </c>
      <c r="BI57" s="5">
        <f t="shared" si="26"/>
        <v>0</v>
      </c>
      <c r="BJ57" s="5">
        <f t="shared" si="27"/>
        <v>0</v>
      </c>
      <c r="BK57" s="5">
        <f t="shared" si="28"/>
        <v>0</v>
      </c>
      <c r="BM57" s="5">
        <f t="shared" si="29"/>
        <v>0</v>
      </c>
      <c r="BN57" s="5">
        <f t="shared" si="30"/>
        <v>0</v>
      </c>
      <c r="BO57" s="5">
        <f t="shared" si="31"/>
        <v>0</v>
      </c>
      <c r="BP57" s="5">
        <f t="shared" si="32"/>
        <v>0</v>
      </c>
      <c r="BR57" s="5">
        <f t="shared" si="33"/>
        <v>0</v>
      </c>
      <c r="BS57" s="5">
        <f t="shared" si="34"/>
        <v>0</v>
      </c>
      <c r="BT57" s="5">
        <f t="shared" si="35"/>
        <v>0</v>
      </c>
      <c r="BU57" s="5">
        <f t="shared" si="36"/>
        <v>0</v>
      </c>
      <c r="BW57" s="5">
        <f t="shared" si="37"/>
        <v>0</v>
      </c>
      <c r="BX57" s="5">
        <f t="shared" si="38"/>
        <v>0</v>
      </c>
      <c r="BY57" s="5">
        <f t="shared" si="39"/>
        <v>0</v>
      </c>
      <c r="BZ57" s="5">
        <f t="shared" si="40"/>
        <v>0</v>
      </c>
      <c r="CB57" s="5">
        <f t="shared" si="41"/>
        <v>0</v>
      </c>
      <c r="CC57" s="5">
        <f t="shared" si="42"/>
        <v>0</v>
      </c>
      <c r="CD57" s="5">
        <f t="shared" si="43"/>
        <v>0</v>
      </c>
      <c r="CE57" s="5">
        <f t="shared" si="44"/>
        <v>0</v>
      </c>
      <c r="CG57" s="5">
        <f t="shared" si="45"/>
        <v>0</v>
      </c>
      <c r="CH57" s="5">
        <f t="shared" si="46"/>
        <v>0</v>
      </c>
      <c r="CI57" s="5">
        <f t="shared" si="47"/>
        <v>0</v>
      </c>
      <c r="CJ57" s="5">
        <f t="shared" si="48"/>
        <v>0</v>
      </c>
      <c r="CL57" s="5">
        <f t="shared" si="49"/>
        <v>0</v>
      </c>
      <c r="CM57" s="5">
        <f t="shared" si="50"/>
        <v>0</v>
      </c>
      <c r="CN57" s="5">
        <f t="shared" si="51"/>
        <v>0</v>
      </c>
      <c r="CO57" s="5">
        <f t="shared" si="52"/>
        <v>0</v>
      </c>
      <c r="CQ57" s="5">
        <f t="shared" si="53"/>
        <v>0</v>
      </c>
      <c r="CR57" s="5">
        <f t="shared" si="54"/>
        <v>0</v>
      </c>
      <c r="CS57" s="5">
        <f t="shared" si="55"/>
        <v>0</v>
      </c>
      <c r="CT57" s="5">
        <f t="shared" si="56"/>
        <v>0</v>
      </c>
      <c r="CV57" s="5">
        <f t="shared" si="57"/>
        <v>0</v>
      </c>
      <c r="CW57" s="5">
        <f t="shared" si="58"/>
        <v>0</v>
      </c>
      <c r="CX57" s="5">
        <f t="shared" si="59"/>
        <v>0</v>
      </c>
      <c r="CY57" s="5">
        <f t="shared" si="60"/>
        <v>0</v>
      </c>
      <c r="DA57" s="5">
        <f t="shared" si="61"/>
        <v>0</v>
      </c>
      <c r="DB57" s="5">
        <f t="shared" si="62"/>
        <v>0</v>
      </c>
      <c r="DC57" s="5">
        <f t="shared" si="63"/>
        <v>0</v>
      </c>
      <c r="DD57" s="5">
        <f t="shared" si="64"/>
        <v>0</v>
      </c>
      <c r="DF57" s="5">
        <f t="shared" si="65"/>
        <v>0</v>
      </c>
      <c r="DG57" s="5">
        <f t="shared" si="66"/>
        <v>0</v>
      </c>
      <c r="DH57" s="5">
        <f t="shared" si="67"/>
        <v>0</v>
      </c>
      <c r="DI57" s="5">
        <f t="shared" si="68"/>
        <v>0</v>
      </c>
      <c r="DK57" s="5">
        <f t="shared" si="69"/>
        <v>0</v>
      </c>
      <c r="DL57" s="5">
        <f t="shared" si="70"/>
        <v>0</v>
      </c>
      <c r="DM57" s="5">
        <f t="shared" si="71"/>
        <v>0</v>
      </c>
      <c r="DN57" s="5">
        <f t="shared" si="72"/>
        <v>0</v>
      </c>
      <c r="DP57" s="5">
        <f t="shared" si="73"/>
        <v>0</v>
      </c>
      <c r="DQ57" s="5">
        <f t="shared" si="74"/>
        <v>0</v>
      </c>
      <c r="DR57" s="5">
        <f t="shared" si="75"/>
        <v>0</v>
      </c>
      <c r="DS57" s="5">
        <f t="shared" si="76"/>
        <v>0</v>
      </c>
      <c r="DU57" s="5">
        <f t="shared" si="77"/>
        <v>0</v>
      </c>
      <c r="DV57" s="5">
        <f t="shared" si="78"/>
        <v>0</v>
      </c>
      <c r="DW57" s="5">
        <f t="shared" si="79"/>
        <v>0</v>
      </c>
      <c r="DX57" s="5">
        <f t="shared" si="80"/>
        <v>0</v>
      </c>
      <c r="ED57" s="5"/>
      <c r="EE57" s="5"/>
      <c r="EF57" s="5"/>
      <c r="EG57" s="5"/>
      <c r="EH57" s="5"/>
      <c r="EI57" s="5"/>
    </row>
    <row r="58" spans="1:139" ht="12" customHeight="1" x14ac:dyDescent="0.2">
      <c r="A58" s="28">
        <v>17807</v>
      </c>
      <c r="D58" s="3">
        <v>461000</v>
      </c>
      <c r="E58" s="3">
        <v>285756</v>
      </c>
      <c r="P58" s="3">
        <f t="shared" si="0"/>
        <v>461000</v>
      </c>
      <c r="Q58" s="3">
        <f t="shared" si="1"/>
        <v>461000</v>
      </c>
      <c r="R58" s="3">
        <f t="shared" si="2"/>
        <v>285756</v>
      </c>
      <c r="T58" s="3"/>
      <c r="U58" s="3"/>
      <c r="W58" s="3"/>
      <c r="Z58" s="5">
        <f t="shared" si="4"/>
        <v>461000</v>
      </c>
      <c r="AA58" s="5">
        <f t="shared" si="5"/>
        <v>461000</v>
      </c>
      <c r="AB58" s="5">
        <f t="shared" si="4"/>
        <v>285756</v>
      </c>
      <c r="AD58" s="5"/>
      <c r="AE58" s="5">
        <f t="shared" si="82"/>
        <v>76439.608600000007</v>
      </c>
      <c r="AF58" s="5">
        <f t="shared" si="7"/>
        <v>76439.608600000007</v>
      </c>
      <c r="AG58" s="5">
        <f t="shared" si="8"/>
        <v>47381.945325599998</v>
      </c>
      <c r="AJ58" s="5">
        <f t="shared" si="83"/>
        <v>384560.39140000002</v>
      </c>
      <c r="AK58" s="5">
        <f t="shared" si="10"/>
        <v>384560.39140000002</v>
      </c>
      <c r="AL58" s="5">
        <f t="shared" si="11"/>
        <v>238374.05467440002</v>
      </c>
      <c r="AS58" s="3">
        <f t="shared" si="13"/>
        <v>0</v>
      </c>
      <c r="AT58" s="3">
        <f t="shared" si="14"/>
        <v>0</v>
      </c>
      <c r="AU58" s="5">
        <f t="shared" si="15"/>
        <v>0</v>
      </c>
      <c r="AV58" s="3">
        <f t="shared" si="16"/>
        <v>0</v>
      </c>
      <c r="AX58" s="5">
        <f t="shared" si="17"/>
        <v>0</v>
      </c>
      <c r="AY58" s="5">
        <f t="shared" si="18"/>
        <v>0</v>
      </c>
      <c r="AZ58" s="5">
        <f t="shared" si="19"/>
        <v>0</v>
      </c>
      <c r="BA58" s="5">
        <f t="shared" si="20"/>
        <v>0</v>
      </c>
      <c r="BC58" s="5">
        <f t="shared" si="21"/>
        <v>0</v>
      </c>
      <c r="BD58" s="5">
        <f t="shared" si="22"/>
        <v>0</v>
      </c>
      <c r="BE58" s="5">
        <f t="shared" si="23"/>
        <v>0</v>
      </c>
      <c r="BF58" s="5">
        <f t="shared" si="24"/>
        <v>0</v>
      </c>
      <c r="BH58" s="5">
        <f t="shared" si="25"/>
        <v>0</v>
      </c>
      <c r="BI58" s="5">
        <f t="shared" si="26"/>
        <v>0</v>
      </c>
      <c r="BJ58" s="5">
        <f t="shared" si="27"/>
        <v>0</v>
      </c>
      <c r="BK58" s="5">
        <f t="shared" si="28"/>
        <v>0</v>
      </c>
      <c r="BM58" s="5">
        <f t="shared" si="29"/>
        <v>0</v>
      </c>
      <c r="BN58" s="5">
        <f t="shared" si="30"/>
        <v>0</v>
      </c>
      <c r="BO58" s="5">
        <f t="shared" si="31"/>
        <v>0</v>
      </c>
      <c r="BP58" s="5">
        <f t="shared" si="32"/>
        <v>0</v>
      </c>
      <c r="BR58" s="5">
        <f t="shared" si="33"/>
        <v>0</v>
      </c>
      <c r="BS58" s="5">
        <f t="shared" si="34"/>
        <v>0</v>
      </c>
      <c r="BT58" s="5">
        <f t="shared" si="35"/>
        <v>0</v>
      </c>
      <c r="BU58" s="5">
        <f t="shared" si="36"/>
        <v>0</v>
      </c>
      <c r="BW58" s="5">
        <f t="shared" si="37"/>
        <v>0</v>
      </c>
      <c r="BX58" s="5">
        <f t="shared" si="38"/>
        <v>0</v>
      </c>
      <c r="BY58" s="5">
        <f t="shared" si="39"/>
        <v>0</v>
      </c>
      <c r="BZ58" s="5">
        <f t="shared" si="40"/>
        <v>0</v>
      </c>
      <c r="CB58" s="5">
        <f t="shared" si="41"/>
        <v>0</v>
      </c>
      <c r="CC58" s="5">
        <f t="shared" si="42"/>
        <v>0</v>
      </c>
      <c r="CD58" s="5">
        <f t="shared" si="43"/>
        <v>0</v>
      </c>
      <c r="CE58" s="5">
        <f t="shared" si="44"/>
        <v>0</v>
      </c>
      <c r="CG58" s="5">
        <f t="shared" si="45"/>
        <v>0</v>
      </c>
      <c r="CH58" s="5">
        <f t="shared" si="46"/>
        <v>0</v>
      </c>
      <c r="CI58" s="5">
        <f t="shared" si="47"/>
        <v>0</v>
      </c>
      <c r="CJ58" s="5">
        <f t="shared" si="48"/>
        <v>0</v>
      </c>
      <c r="CL58" s="5">
        <f t="shared" si="49"/>
        <v>0</v>
      </c>
      <c r="CM58" s="5">
        <f t="shared" si="50"/>
        <v>0</v>
      </c>
      <c r="CN58" s="5">
        <f t="shared" si="51"/>
        <v>0</v>
      </c>
      <c r="CO58" s="5">
        <f t="shared" si="52"/>
        <v>0</v>
      </c>
      <c r="CQ58" s="5">
        <f t="shared" si="53"/>
        <v>0</v>
      </c>
      <c r="CR58" s="5">
        <f t="shared" si="54"/>
        <v>0</v>
      </c>
      <c r="CS58" s="5">
        <f t="shared" si="55"/>
        <v>0</v>
      </c>
      <c r="CT58" s="5">
        <f t="shared" si="56"/>
        <v>0</v>
      </c>
      <c r="CV58" s="5">
        <f t="shared" si="57"/>
        <v>0</v>
      </c>
      <c r="CW58" s="5">
        <f t="shared" si="58"/>
        <v>0</v>
      </c>
      <c r="CX58" s="5">
        <f t="shared" si="59"/>
        <v>0</v>
      </c>
      <c r="CY58" s="5">
        <f t="shared" si="60"/>
        <v>0</v>
      </c>
      <c r="DA58" s="5">
        <f t="shared" si="61"/>
        <v>0</v>
      </c>
      <c r="DB58" s="5">
        <f t="shared" si="62"/>
        <v>0</v>
      </c>
      <c r="DC58" s="5">
        <f t="shared" si="63"/>
        <v>0</v>
      </c>
      <c r="DD58" s="5">
        <f t="shared" si="64"/>
        <v>0</v>
      </c>
      <c r="DF58" s="5">
        <f t="shared" si="65"/>
        <v>0</v>
      </c>
      <c r="DG58" s="5">
        <f t="shared" si="66"/>
        <v>0</v>
      </c>
      <c r="DH58" s="5">
        <f t="shared" si="67"/>
        <v>0</v>
      </c>
      <c r="DI58" s="5">
        <f t="shared" si="68"/>
        <v>0</v>
      </c>
      <c r="DK58" s="5">
        <f t="shared" si="69"/>
        <v>0</v>
      </c>
      <c r="DL58" s="5">
        <f t="shared" si="70"/>
        <v>0</v>
      </c>
      <c r="DM58" s="5">
        <f t="shared" si="71"/>
        <v>0</v>
      </c>
      <c r="DN58" s="5">
        <f t="shared" si="72"/>
        <v>0</v>
      </c>
      <c r="DP58" s="5">
        <f t="shared" si="73"/>
        <v>0</v>
      </c>
      <c r="DQ58" s="5">
        <f t="shared" si="74"/>
        <v>0</v>
      </c>
      <c r="DR58" s="5">
        <f t="shared" si="75"/>
        <v>0</v>
      </c>
      <c r="DS58" s="5">
        <f t="shared" si="76"/>
        <v>0</v>
      </c>
      <c r="DU58" s="5">
        <f t="shared" si="77"/>
        <v>0</v>
      </c>
      <c r="DV58" s="5">
        <f t="shared" si="78"/>
        <v>0</v>
      </c>
      <c r="DW58" s="5">
        <f t="shared" si="79"/>
        <v>0</v>
      </c>
      <c r="DX58" s="5">
        <f t="shared" si="80"/>
        <v>0</v>
      </c>
      <c r="ED58" s="5"/>
      <c r="EE58" s="5"/>
      <c r="EF58" s="5"/>
      <c r="EG58" s="5"/>
      <c r="EH58" s="5"/>
      <c r="EI58" s="5"/>
    </row>
    <row r="59" spans="1:139" ht="12" customHeight="1" x14ac:dyDescent="0.2">
      <c r="A59" s="28">
        <v>17989</v>
      </c>
      <c r="C59" s="3">
        <v>7385000</v>
      </c>
      <c r="D59" s="3">
        <v>461000</v>
      </c>
      <c r="E59" s="3">
        <v>285756</v>
      </c>
      <c r="O59" s="3">
        <f t="shared" si="81"/>
        <v>7385000</v>
      </c>
      <c r="P59" s="3">
        <f t="shared" si="0"/>
        <v>461000</v>
      </c>
      <c r="Q59" s="3">
        <f t="shared" si="1"/>
        <v>7846000</v>
      </c>
      <c r="R59" s="3">
        <f t="shared" si="2"/>
        <v>285756</v>
      </c>
      <c r="T59" s="3"/>
      <c r="U59" s="3"/>
      <c r="W59" s="3"/>
      <c r="Y59" s="5">
        <f>AD59+AI59</f>
        <v>7385000</v>
      </c>
      <c r="Z59" s="5">
        <f t="shared" si="4"/>
        <v>461000</v>
      </c>
      <c r="AA59" s="5">
        <f t="shared" si="5"/>
        <v>7846000</v>
      </c>
      <c r="AB59" s="5">
        <f t="shared" si="4"/>
        <v>285756</v>
      </c>
      <c r="AD59" s="5">
        <f>C59*$AE$7</f>
        <v>1224526.051</v>
      </c>
      <c r="AE59" s="5">
        <f t="shared" si="82"/>
        <v>76439.608600000007</v>
      </c>
      <c r="AF59" s="5">
        <f t="shared" si="7"/>
        <v>1300965.6595999999</v>
      </c>
      <c r="AG59" s="5">
        <f t="shared" si="8"/>
        <v>47381.945325599998</v>
      </c>
      <c r="AI59" s="5">
        <f>C59*$AJ$7</f>
        <v>6160473.949</v>
      </c>
      <c r="AJ59" s="5">
        <f t="shared" si="83"/>
        <v>384560.39140000002</v>
      </c>
      <c r="AK59" s="5">
        <f t="shared" si="10"/>
        <v>6545034.3404000001</v>
      </c>
      <c r="AL59" s="5">
        <f t="shared" si="11"/>
        <v>238374.05467440002</v>
      </c>
      <c r="AS59" s="3">
        <f t="shared" si="13"/>
        <v>0</v>
      </c>
      <c r="AT59" s="3">
        <f t="shared" si="14"/>
        <v>0</v>
      </c>
      <c r="AU59" s="5">
        <f t="shared" si="15"/>
        <v>0</v>
      </c>
      <c r="AV59" s="3">
        <f t="shared" si="16"/>
        <v>0</v>
      </c>
      <c r="AX59" s="5">
        <f t="shared" si="17"/>
        <v>0</v>
      </c>
      <c r="AY59" s="5">
        <f t="shared" si="18"/>
        <v>0</v>
      </c>
      <c r="AZ59" s="5">
        <f t="shared" si="19"/>
        <v>0</v>
      </c>
      <c r="BA59" s="5">
        <f t="shared" si="20"/>
        <v>0</v>
      </c>
      <c r="BC59" s="5">
        <f t="shared" si="21"/>
        <v>0</v>
      </c>
      <c r="BD59" s="5">
        <f t="shared" si="22"/>
        <v>0</v>
      </c>
      <c r="BE59" s="5">
        <f t="shared" si="23"/>
        <v>0</v>
      </c>
      <c r="BF59" s="5">
        <f t="shared" si="24"/>
        <v>0</v>
      </c>
      <c r="BH59" s="5">
        <f t="shared" si="25"/>
        <v>0</v>
      </c>
      <c r="BI59" s="5">
        <f t="shared" si="26"/>
        <v>0</v>
      </c>
      <c r="BJ59" s="5">
        <f t="shared" si="27"/>
        <v>0</v>
      </c>
      <c r="BK59" s="5">
        <f t="shared" si="28"/>
        <v>0</v>
      </c>
      <c r="BM59" s="5">
        <f t="shared" si="29"/>
        <v>0</v>
      </c>
      <c r="BN59" s="5">
        <f t="shared" si="30"/>
        <v>0</v>
      </c>
      <c r="BO59" s="5">
        <f t="shared" si="31"/>
        <v>0</v>
      </c>
      <c r="BP59" s="5">
        <f t="shared" si="32"/>
        <v>0</v>
      </c>
      <c r="BR59" s="5">
        <f t="shared" si="33"/>
        <v>0</v>
      </c>
      <c r="BS59" s="5">
        <f t="shared" si="34"/>
        <v>0</v>
      </c>
      <c r="BT59" s="5">
        <f t="shared" si="35"/>
        <v>0</v>
      </c>
      <c r="BU59" s="5">
        <f t="shared" si="36"/>
        <v>0</v>
      </c>
      <c r="BW59" s="5">
        <f t="shared" si="37"/>
        <v>0</v>
      </c>
      <c r="BX59" s="5">
        <f t="shared" si="38"/>
        <v>0</v>
      </c>
      <c r="BY59" s="5">
        <f t="shared" si="39"/>
        <v>0</v>
      </c>
      <c r="BZ59" s="5">
        <f t="shared" si="40"/>
        <v>0</v>
      </c>
      <c r="CB59" s="5">
        <f t="shared" si="41"/>
        <v>0</v>
      </c>
      <c r="CC59" s="5">
        <f t="shared" si="42"/>
        <v>0</v>
      </c>
      <c r="CD59" s="5">
        <f t="shared" si="43"/>
        <v>0</v>
      </c>
      <c r="CE59" s="5">
        <f t="shared" si="44"/>
        <v>0</v>
      </c>
      <c r="CG59" s="5">
        <f t="shared" si="45"/>
        <v>0</v>
      </c>
      <c r="CH59" s="5">
        <f t="shared" si="46"/>
        <v>0</v>
      </c>
      <c r="CI59" s="5">
        <f t="shared" si="47"/>
        <v>0</v>
      </c>
      <c r="CJ59" s="5">
        <f t="shared" si="48"/>
        <v>0</v>
      </c>
      <c r="CL59" s="5">
        <f t="shared" si="49"/>
        <v>0</v>
      </c>
      <c r="CM59" s="5">
        <f t="shared" si="50"/>
        <v>0</v>
      </c>
      <c r="CN59" s="5">
        <f t="shared" si="51"/>
        <v>0</v>
      </c>
      <c r="CO59" s="5">
        <f t="shared" si="52"/>
        <v>0</v>
      </c>
      <c r="CQ59" s="5">
        <f t="shared" si="53"/>
        <v>0</v>
      </c>
      <c r="CR59" s="5">
        <f t="shared" si="54"/>
        <v>0</v>
      </c>
      <c r="CS59" s="5">
        <f t="shared" si="55"/>
        <v>0</v>
      </c>
      <c r="CT59" s="5">
        <f t="shared" si="56"/>
        <v>0</v>
      </c>
      <c r="CV59" s="5">
        <f t="shared" si="57"/>
        <v>0</v>
      </c>
      <c r="CW59" s="5">
        <f t="shared" si="58"/>
        <v>0</v>
      </c>
      <c r="CX59" s="5">
        <f t="shared" si="59"/>
        <v>0</v>
      </c>
      <c r="CY59" s="5">
        <f t="shared" si="60"/>
        <v>0</v>
      </c>
      <c r="DA59" s="5">
        <f t="shared" si="61"/>
        <v>0</v>
      </c>
      <c r="DB59" s="5">
        <f t="shared" si="62"/>
        <v>0</v>
      </c>
      <c r="DC59" s="5">
        <f t="shared" si="63"/>
        <v>0</v>
      </c>
      <c r="DD59" s="5">
        <f t="shared" si="64"/>
        <v>0</v>
      </c>
      <c r="DF59" s="5">
        <f t="shared" si="65"/>
        <v>0</v>
      </c>
      <c r="DG59" s="5">
        <f t="shared" si="66"/>
        <v>0</v>
      </c>
      <c r="DH59" s="5">
        <f t="shared" si="67"/>
        <v>0</v>
      </c>
      <c r="DI59" s="5">
        <f t="shared" si="68"/>
        <v>0</v>
      </c>
      <c r="DK59" s="5">
        <f t="shared" si="69"/>
        <v>0</v>
      </c>
      <c r="DL59" s="5">
        <f t="shared" si="70"/>
        <v>0</v>
      </c>
      <c r="DM59" s="5">
        <f t="shared" si="71"/>
        <v>0</v>
      </c>
      <c r="DN59" s="5">
        <f t="shared" si="72"/>
        <v>0</v>
      </c>
      <c r="DP59" s="5">
        <f t="shared" si="73"/>
        <v>0</v>
      </c>
      <c r="DQ59" s="5">
        <f t="shared" si="74"/>
        <v>0</v>
      </c>
      <c r="DR59" s="5">
        <f t="shared" si="75"/>
        <v>0</v>
      </c>
      <c r="DS59" s="5">
        <f t="shared" si="76"/>
        <v>0</v>
      </c>
      <c r="DU59" s="5">
        <f t="shared" si="77"/>
        <v>0</v>
      </c>
      <c r="DV59" s="5">
        <f t="shared" si="78"/>
        <v>0</v>
      </c>
      <c r="DW59" s="5">
        <f t="shared" si="79"/>
        <v>0</v>
      </c>
      <c r="DX59" s="5">
        <f t="shared" si="80"/>
        <v>0</v>
      </c>
      <c r="ED59" s="5"/>
      <c r="EE59" s="5"/>
      <c r="EF59" s="5"/>
      <c r="EG59" s="5"/>
      <c r="EH59" s="5"/>
      <c r="EI59" s="5"/>
    </row>
    <row r="60" spans="1:139" ht="12" customHeight="1" x14ac:dyDescent="0.2">
      <c r="A60" s="28">
        <v>18172</v>
      </c>
      <c r="D60" s="3">
        <v>313300</v>
      </c>
      <c r="E60" s="3">
        <v>285756</v>
      </c>
      <c r="P60" s="3">
        <f t="shared" si="0"/>
        <v>313300</v>
      </c>
      <c r="Q60" s="3">
        <f t="shared" si="1"/>
        <v>313300</v>
      </c>
      <c r="R60" s="3">
        <f t="shared" si="2"/>
        <v>285756</v>
      </c>
      <c r="T60" s="3"/>
      <c r="U60" s="3"/>
      <c r="W60" s="3"/>
      <c r="Z60" s="5">
        <f t="shared" si="4"/>
        <v>313300</v>
      </c>
      <c r="AA60" s="5">
        <f t="shared" si="5"/>
        <v>313300</v>
      </c>
      <c r="AB60" s="5">
        <f t="shared" si="4"/>
        <v>285756</v>
      </c>
      <c r="AD60" s="5"/>
      <c r="AE60" s="5">
        <f t="shared" si="82"/>
        <v>51949.087579999999</v>
      </c>
      <c r="AF60" s="5">
        <f t="shared" si="7"/>
        <v>51949.087579999999</v>
      </c>
      <c r="AG60" s="5">
        <f t="shared" si="8"/>
        <v>47381.945325599998</v>
      </c>
      <c r="AJ60" s="5">
        <f t="shared" si="83"/>
        <v>261350.91242000001</v>
      </c>
      <c r="AK60" s="5">
        <f t="shared" si="10"/>
        <v>261350.91242000001</v>
      </c>
      <c r="AL60" s="5">
        <f t="shared" si="11"/>
        <v>238374.05467440002</v>
      </c>
      <c r="AS60" s="3">
        <f t="shared" si="13"/>
        <v>0</v>
      </c>
      <c r="AT60" s="3">
        <f t="shared" si="14"/>
        <v>0</v>
      </c>
      <c r="AU60" s="5">
        <f t="shared" si="15"/>
        <v>0</v>
      </c>
      <c r="AV60" s="3">
        <f t="shared" si="16"/>
        <v>0</v>
      </c>
      <c r="AX60" s="5">
        <f t="shared" si="17"/>
        <v>0</v>
      </c>
      <c r="AY60" s="5">
        <f t="shared" si="18"/>
        <v>0</v>
      </c>
      <c r="AZ60" s="5">
        <f t="shared" si="19"/>
        <v>0</v>
      </c>
      <c r="BA60" s="5">
        <f t="shared" si="20"/>
        <v>0</v>
      </c>
      <c r="BC60" s="5">
        <f t="shared" si="21"/>
        <v>0</v>
      </c>
      <c r="BD60" s="5">
        <f t="shared" si="22"/>
        <v>0</v>
      </c>
      <c r="BE60" s="5">
        <f t="shared" si="23"/>
        <v>0</v>
      </c>
      <c r="BF60" s="5">
        <f t="shared" si="24"/>
        <v>0</v>
      </c>
      <c r="BH60" s="5">
        <f t="shared" si="25"/>
        <v>0</v>
      </c>
      <c r="BI60" s="5">
        <f t="shared" si="26"/>
        <v>0</v>
      </c>
      <c r="BJ60" s="5">
        <f t="shared" si="27"/>
        <v>0</v>
      </c>
      <c r="BK60" s="5">
        <f t="shared" si="28"/>
        <v>0</v>
      </c>
      <c r="BM60" s="5">
        <f t="shared" si="29"/>
        <v>0</v>
      </c>
      <c r="BN60" s="5">
        <f t="shared" si="30"/>
        <v>0</v>
      </c>
      <c r="BO60" s="5">
        <f t="shared" si="31"/>
        <v>0</v>
      </c>
      <c r="BP60" s="5">
        <f t="shared" si="32"/>
        <v>0</v>
      </c>
      <c r="BR60" s="5">
        <f t="shared" si="33"/>
        <v>0</v>
      </c>
      <c r="BS60" s="5">
        <f t="shared" si="34"/>
        <v>0</v>
      </c>
      <c r="BT60" s="5">
        <f t="shared" si="35"/>
        <v>0</v>
      </c>
      <c r="BU60" s="5">
        <f t="shared" si="36"/>
        <v>0</v>
      </c>
      <c r="BW60" s="5">
        <f t="shared" si="37"/>
        <v>0</v>
      </c>
      <c r="BX60" s="5">
        <f t="shared" si="38"/>
        <v>0</v>
      </c>
      <c r="BY60" s="5">
        <f t="shared" si="39"/>
        <v>0</v>
      </c>
      <c r="BZ60" s="5">
        <f t="shared" si="40"/>
        <v>0</v>
      </c>
      <c r="CB60" s="5">
        <f t="shared" si="41"/>
        <v>0</v>
      </c>
      <c r="CC60" s="5">
        <f t="shared" si="42"/>
        <v>0</v>
      </c>
      <c r="CD60" s="5">
        <f t="shared" si="43"/>
        <v>0</v>
      </c>
      <c r="CE60" s="5">
        <f t="shared" si="44"/>
        <v>0</v>
      </c>
      <c r="CG60" s="5">
        <f t="shared" si="45"/>
        <v>0</v>
      </c>
      <c r="CH60" s="5">
        <f t="shared" si="46"/>
        <v>0</v>
      </c>
      <c r="CI60" s="5">
        <f t="shared" si="47"/>
        <v>0</v>
      </c>
      <c r="CJ60" s="5">
        <f t="shared" si="48"/>
        <v>0</v>
      </c>
      <c r="CL60" s="5">
        <f t="shared" si="49"/>
        <v>0</v>
      </c>
      <c r="CM60" s="5">
        <f t="shared" si="50"/>
        <v>0</v>
      </c>
      <c r="CN60" s="5">
        <f t="shared" si="51"/>
        <v>0</v>
      </c>
      <c r="CO60" s="5">
        <f t="shared" si="52"/>
        <v>0</v>
      </c>
      <c r="CQ60" s="5">
        <f t="shared" si="53"/>
        <v>0</v>
      </c>
      <c r="CR60" s="5">
        <f t="shared" si="54"/>
        <v>0</v>
      </c>
      <c r="CS60" s="5">
        <f t="shared" si="55"/>
        <v>0</v>
      </c>
      <c r="CT60" s="5">
        <f t="shared" si="56"/>
        <v>0</v>
      </c>
      <c r="CV60" s="5">
        <f t="shared" si="57"/>
        <v>0</v>
      </c>
      <c r="CW60" s="5">
        <f t="shared" si="58"/>
        <v>0</v>
      </c>
      <c r="CX60" s="5">
        <f t="shared" si="59"/>
        <v>0</v>
      </c>
      <c r="CY60" s="5">
        <f t="shared" si="60"/>
        <v>0</v>
      </c>
      <c r="DA60" s="5">
        <f t="shared" si="61"/>
        <v>0</v>
      </c>
      <c r="DB60" s="5">
        <f t="shared" si="62"/>
        <v>0</v>
      </c>
      <c r="DC60" s="5">
        <f t="shared" si="63"/>
        <v>0</v>
      </c>
      <c r="DD60" s="5">
        <f t="shared" si="64"/>
        <v>0</v>
      </c>
      <c r="DF60" s="5">
        <f t="shared" si="65"/>
        <v>0</v>
      </c>
      <c r="DG60" s="5">
        <f t="shared" si="66"/>
        <v>0</v>
      </c>
      <c r="DH60" s="5">
        <f t="shared" si="67"/>
        <v>0</v>
      </c>
      <c r="DI60" s="5">
        <f t="shared" si="68"/>
        <v>0</v>
      </c>
      <c r="DK60" s="5">
        <f t="shared" si="69"/>
        <v>0</v>
      </c>
      <c r="DL60" s="5">
        <f t="shared" si="70"/>
        <v>0</v>
      </c>
      <c r="DM60" s="5">
        <f t="shared" si="71"/>
        <v>0</v>
      </c>
      <c r="DN60" s="5">
        <f t="shared" si="72"/>
        <v>0</v>
      </c>
      <c r="DP60" s="5">
        <f t="shared" si="73"/>
        <v>0</v>
      </c>
      <c r="DQ60" s="5">
        <f t="shared" si="74"/>
        <v>0</v>
      </c>
      <c r="DR60" s="5">
        <f t="shared" si="75"/>
        <v>0</v>
      </c>
      <c r="DS60" s="5">
        <f t="shared" si="76"/>
        <v>0</v>
      </c>
      <c r="DU60" s="5">
        <f t="shared" si="77"/>
        <v>0</v>
      </c>
      <c r="DV60" s="5">
        <f t="shared" si="78"/>
        <v>0</v>
      </c>
      <c r="DW60" s="5">
        <f t="shared" si="79"/>
        <v>0</v>
      </c>
      <c r="DX60" s="5">
        <f t="shared" si="80"/>
        <v>0</v>
      </c>
      <c r="ED60" s="5"/>
      <c r="EE60" s="5"/>
      <c r="EF60" s="5"/>
      <c r="EG60" s="5"/>
      <c r="EH60" s="5"/>
      <c r="EI60" s="5"/>
    </row>
    <row r="61" spans="1:139" ht="12" customHeight="1" x14ac:dyDescent="0.2">
      <c r="A61" s="28">
        <v>18354</v>
      </c>
      <c r="C61" s="3">
        <v>7680000</v>
      </c>
      <c r="D61" s="3">
        <v>313300</v>
      </c>
      <c r="E61" s="3">
        <v>285756</v>
      </c>
      <c r="O61" s="3">
        <f t="shared" si="81"/>
        <v>7680000</v>
      </c>
      <c r="P61" s="3">
        <f t="shared" si="0"/>
        <v>313300</v>
      </c>
      <c r="Q61" s="3">
        <f t="shared" si="1"/>
        <v>7993300</v>
      </c>
      <c r="R61" s="3">
        <f t="shared" si="2"/>
        <v>285756</v>
      </c>
      <c r="T61" s="3"/>
      <c r="U61" s="3"/>
      <c r="W61" s="3"/>
      <c r="Y61" s="5">
        <f>AD61+AI61</f>
        <v>7680000</v>
      </c>
      <c r="Z61" s="5">
        <f t="shared" si="4"/>
        <v>313300</v>
      </c>
      <c r="AA61" s="5">
        <f t="shared" si="5"/>
        <v>7993300</v>
      </c>
      <c r="AB61" s="5">
        <f t="shared" si="4"/>
        <v>285756</v>
      </c>
      <c r="AD61" s="5">
        <f>C61*$AE$7</f>
        <v>1273440.7679999999</v>
      </c>
      <c r="AE61" s="5">
        <f t="shared" si="82"/>
        <v>51949.087579999999</v>
      </c>
      <c r="AF61" s="5">
        <f t="shared" si="7"/>
        <v>1325389.85558</v>
      </c>
      <c r="AG61" s="5">
        <f t="shared" si="8"/>
        <v>47381.945325599998</v>
      </c>
      <c r="AI61" s="5">
        <f>C61*$AJ$7</f>
        <v>6406559.2319999998</v>
      </c>
      <c r="AJ61" s="5">
        <f t="shared" si="83"/>
        <v>261350.91242000001</v>
      </c>
      <c r="AK61" s="5">
        <f t="shared" si="10"/>
        <v>6667910.1444199998</v>
      </c>
      <c r="AL61" s="5">
        <f t="shared" si="11"/>
        <v>238374.05467440002</v>
      </c>
      <c r="AS61" s="3">
        <f t="shared" si="13"/>
        <v>0</v>
      </c>
      <c r="AT61" s="3">
        <f t="shared" si="14"/>
        <v>0</v>
      </c>
      <c r="AU61" s="5">
        <f t="shared" si="15"/>
        <v>0</v>
      </c>
      <c r="AV61" s="3">
        <f t="shared" si="16"/>
        <v>0</v>
      </c>
      <c r="AX61" s="5">
        <f t="shared" si="17"/>
        <v>0</v>
      </c>
      <c r="AY61" s="5">
        <f t="shared" si="18"/>
        <v>0</v>
      </c>
      <c r="AZ61" s="5">
        <f t="shared" si="19"/>
        <v>0</v>
      </c>
      <c r="BA61" s="5">
        <f t="shared" si="20"/>
        <v>0</v>
      </c>
      <c r="BC61" s="5">
        <f t="shared" si="21"/>
        <v>0</v>
      </c>
      <c r="BD61" s="5">
        <f t="shared" si="22"/>
        <v>0</v>
      </c>
      <c r="BE61" s="5">
        <f t="shared" si="23"/>
        <v>0</v>
      </c>
      <c r="BF61" s="5">
        <f t="shared" si="24"/>
        <v>0</v>
      </c>
      <c r="BH61" s="5">
        <f t="shared" si="25"/>
        <v>0</v>
      </c>
      <c r="BI61" s="5">
        <f t="shared" si="26"/>
        <v>0</v>
      </c>
      <c r="BJ61" s="5">
        <f t="shared" si="27"/>
        <v>0</v>
      </c>
      <c r="BK61" s="5">
        <f t="shared" si="28"/>
        <v>0</v>
      </c>
      <c r="BM61" s="5">
        <f t="shared" si="29"/>
        <v>0</v>
      </c>
      <c r="BN61" s="5">
        <f t="shared" si="30"/>
        <v>0</v>
      </c>
      <c r="BO61" s="5">
        <f t="shared" si="31"/>
        <v>0</v>
      </c>
      <c r="BP61" s="5">
        <f t="shared" si="32"/>
        <v>0</v>
      </c>
      <c r="BR61" s="5">
        <f t="shared" si="33"/>
        <v>0</v>
      </c>
      <c r="BS61" s="5">
        <f t="shared" si="34"/>
        <v>0</v>
      </c>
      <c r="BT61" s="5">
        <f t="shared" si="35"/>
        <v>0</v>
      </c>
      <c r="BU61" s="5">
        <f t="shared" si="36"/>
        <v>0</v>
      </c>
      <c r="BW61" s="5">
        <f t="shared" si="37"/>
        <v>0</v>
      </c>
      <c r="BX61" s="5">
        <f t="shared" si="38"/>
        <v>0</v>
      </c>
      <c r="BY61" s="5">
        <f t="shared" si="39"/>
        <v>0</v>
      </c>
      <c r="BZ61" s="5">
        <f t="shared" si="40"/>
        <v>0</v>
      </c>
      <c r="CB61" s="5">
        <f t="shared" si="41"/>
        <v>0</v>
      </c>
      <c r="CC61" s="5">
        <f t="shared" si="42"/>
        <v>0</v>
      </c>
      <c r="CD61" s="5">
        <f t="shared" si="43"/>
        <v>0</v>
      </c>
      <c r="CE61" s="5">
        <f t="shared" si="44"/>
        <v>0</v>
      </c>
      <c r="CG61" s="5">
        <f t="shared" si="45"/>
        <v>0</v>
      </c>
      <c r="CH61" s="5">
        <f t="shared" si="46"/>
        <v>0</v>
      </c>
      <c r="CI61" s="5">
        <f t="shared" si="47"/>
        <v>0</v>
      </c>
      <c r="CJ61" s="5">
        <f t="shared" si="48"/>
        <v>0</v>
      </c>
      <c r="CL61" s="5">
        <f t="shared" si="49"/>
        <v>0</v>
      </c>
      <c r="CM61" s="5">
        <f t="shared" si="50"/>
        <v>0</v>
      </c>
      <c r="CN61" s="5">
        <f t="shared" si="51"/>
        <v>0</v>
      </c>
      <c r="CO61" s="5">
        <f t="shared" si="52"/>
        <v>0</v>
      </c>
      <c r="CQ61" s="5">
        <f t="shared" si="53"/>
        <v>0</v>
      </c>
      <c r="CR61" s="5">
        <f t="shared" si="54"/>
        <v>0</v>
      </c>
      <c r="CS61" s="5">
        <f t="shared" si="55"/>
        <v>0</v>
      </c>
      <c r="CT61" s="5">
        <f t="shared" si="56"/>
        <v>0</v>
      </c>
      <c r="CV61" s="5">
        <f t="shared" si="57"/>
        <v>0</v>
      </c>
      <c r="CW61" s="5">
        <f t="shared" si="58"/>
        <v>0</v>
      </c>
      <c r="CX61" s="5">
        <f t="shared" si="59"/>
        <v>0</v>
      </c>
      <c r="CY61" s="5">
        <f t="shared" si="60"/>
        <v>0</v>
      </c>
      <c r="DA61" s="5">
        <f t="shared" si="61"/>
        <v>0</v>
      </c>
      <c r="DB61" s="5">
        <f t="shared" si="62"/>
        <v>0</v>
      </c>
      <c r="DC61" s="5">
        <f t="shared" si="63"/>
        <v>0</v>
      </c>
      <c r="DD61" s="5">
        <f t="shared" si="64"/>
        <v>0</v>
      </c>
      <c r="DF61" s="5">
        <f t="shared" si="65"/>
        <v>0</v>
      </c>
      <c r="DG61" s="5">
        <f t="shared" si="66"/>
        <v>0</v>
      </c>
      <c r="DH61" s="5">
        <f t="shared" si="67"/>
        <v>0</v>
      </c>
      <c r="DI61" s="5">
        <f t="shared" si="68"/>
        <v>0</v>
      </c>
      <c r="DK61" s="5">
        <f t="shared" si="69"/>
        <v>0</v>
      </c>
      <c r="DL61" s="5">
        <f t="shared" si="70"/>
        <v>0</v>
      </c>
      <c r="DM61" s="5">
        <f t="shared" si="71"/>
        <v>0</v>
      </c>
      <c r="DN61" s="5">
        <f t="shared" si="72"/>
        <v>0</v>
      </c>
      <c r="DP61" s="5">
        <f t="shared" si="73"/>
        <v>0</v>
      </c>
      <c r="DQ61" s="5">
        <f t="shared" si="74"/>
        <v>0</v>
      </c>
      <c r="DR61" s="5">
        <f t="shared" si="75"/>
        <v>0</v>
      </c>
      <c r="DS61" s="5">
        <f t="shared" si="76"/>
        <v>0</v>
      </c>
      <c r="DU61" s="5">
        <f t="shared" si="77"/>
        <v>0</v>
      </c>
      <c r="DV61" s="5">
        <f t="shared" si="78"/>
        <v>0</v>
      </c>
      <c r="DW61" s="5">
        <f t="shared" si="79"/>
        <v>0</v>
      </c>
      <c r="DX61" s="5">
        <f t="shared" si="80"/>
        <v>0</v>
      </c>
      <c r="ED61" s="5"/>
      <c r="EE61" s="5"/>
      <c r="EF61" s="5"/>
      <c r="EG61" s="5"/>
      <c r="EH61" s="5"/>
      <c r="EI61" s="5"/>
    </row>
    <row r="62" spans="1:139" ht="12" customHeight="1" x14ac:dyDescent="0.2">
      <c r="A62" s="28">
        <v>18537</v>
      </c>
      <c r="D62" s="3">
        <v>159700</v>
      </c>
      <c r="E62" s="3">
        <v>285756</v>
      </c>
      <c r="P62" s="3">
        <f t="shared" si="0"/>
        <v>159700</v>
      </c>
      <c r="Q62" s="3">
        <f t="shared" si="1"/>
        <v>159700</v>
      </c>
      <c r="R62" s="3">
        <f t="shared" si="2"/>
        <v>285756</v>
      </c>
      <c r="T62" s="3"/>
      <c r="U62" s="3"/>
      <c r="W62" s="3"/>
      <c r="Z62" s="5">
        <f t="shared" si="4"/>
        <v>159700</v>
      </c>
      <c r="AA62" s="5">
        <f t="shared" si="5"/>
        <v>159700</v>
      </c>
      <c r="AB62" s="5">
        <f t="shared" si="4"/>
        <v>285756</v>
      </c>
      <c r="AD62" s="5"/>
      <c r="AE62" s="5">
        <f t="shared" si="82"/>
        <v>26480.272219999999</v>
      </c>
      <c r="AF62" s="5">
        <f t="shared" si="7"/>
        <v>26480.272219999999</v>
      </c>
      <c r="AG62" s="5">
        <f t="shared" si="8"/>
        <v>47381.945325599998</v>
      </c>
      <c r="AJ62" s="5">
        <f t="shared" si="83"/>
        <v>133219.72778000002</v>
      </c>
      <c r="AK62" s="5">
        <f t="shared" si="10"/>
        <v>133219.72778000002</v>
      </c>
      <c r="AL62" s="5">
        <f t="shared" si="11"/>
        <v>238374.05467440002</v>
      </c>
      <c r="AS62" s="3">
        <f t="shared" si="13"/>
        <v>0</v>
      </c>
      <c r="AT62" s="3">
        <f t="shared" si="14"/>
        <v>0</v>
      </c>
      <c r="AU62" s="5">
        <f t="shared" si="15"/>
        <v>0</v>
      </c>
      <c r="AV62" s="3">
        <f t="shared" si="16"/>
        <v>0</v>
      </c>
      <c r="AX62" s="5">
        <f t="shared" si="17"/>
        <v>0</v>
      </c>
      <c r="AY62" s="5">
        <f t="shared" si="18"/>
        <v>0</v>
      </c>
      <c r="AZ62" s="5">
        <f t="shared" si="19"/>
        <v>0</v>
      </c>
      <c r="BA62" s="5">
        <f t="shared" si="20"/>
        <v>0</v>
      </c>
      <c r="BC62" s="5">
        <f t="shared" si="21"/>
        <v>0</v>
      </c>
      <c r="BD62" s="5">
        <f t="shared" si="22"/>
        <v>0</v>
      </c>
      <c r="BE62" s="5">
        <f t="shared" si="23"/>
        <v>0</v>
      </c>
      <c r="BF62" s="5">
        <f t="shared" si="24"/>
        <v>0</v>
      </c>
      <c r="BH62" s="5">
        <f t="shared" si="25"/>
        <v>0</v>
      </c>
      <c r="BI62" s="5">
        <f t="shared" si="26"/>
        <v>0</v>
      </c>
      <c r="BJ62" s="5">
        <f t="shared" si="27"/>
        <v>0</v>
      </c>
      <c r="BK62" s="5">
        <f t="shared" si="28"/>
        <v>0</v>
      </c>
      <c r="BM62" s="5">
        <f t="shared" si="29"/>
        <v>0</v>
      </c>
      <c r="BN62" s="5">
        <f t="shared" si="30"/>
        <v>0</v>
      </c>
      <c r="BO62" s="5">
        <f t="shared" si="31"/>
        <v>0</v>
      </c>
      <c r="BP62" s="5">
        <f t="shared" si="32"/>
        <v>0</v>
      </c>
      <c r="BR62" s="5">
        <f t="shared" si="33"/>
        <v>0</v>
      </c>
      <c r="BS62" s="5">
        <f t="shared" si="34"/>
        <v>0</v>
      </c>
      <c r="BT62" s="5">
        <f t="shared" si="35"/>
        <v>0</v>
      </c>
      <c r="BU62" s="5">
        <f t="shared" si="36"/>
        <v>0</v>
      </c>
      <c r="BW62" s="5">
        <f t="shared" si="37"/>
        <v>0</v>
      </c>
      <c r="BX62" s="5">
        <f t="shared" si="38"/>
        <v>0</v>
      </c>
      <c r="BY62" s="5">
        <f t="shared" si="39"/>
        <v>0</v>
      </c>
      <c r="BZ62" s="5">
        <f t="shared" si="40"/>
        <v>0</v>
      </c>
      <c r="CB62" s="5">
        <f t="shared" si="41"/>
        <v>0</v>
      </c>
      <c r="CC62" s="5">
        <f t="shared" si="42"/>
        <v>0</v>
      </c>
      <c r="CD62" s="5">
        <f t="shared" si="43"/>
        <v>0</v>
      </c>
      <c r="CE62" s="5">
        <f t="shared" si="44"/>
        <v>0</v>
      </c>
      <c r="CG62" s="5">
        <f t="shared" si="45"/>
        <v>0</v>
      </c>
      <c r="CH62" s="5">
        <f t="shared" si="46"/>
        <v>0</v>
      </c>
      <c r="CI62" s="5">
        <f t="shared" si="47"/>
        <v>0</v>
      </c>
      <c r="CJ62" s="5">
        <f t="shared" si="48"/>
        <v>0</v>
      </c>
      <c r="CL62" s="5">
        <f t="shared" si="49"/>
        <v>0</v>
      </c>
      <c r="CM62" s="5">
        <f t="shared" si="50"/>
        <v>0</v>
      </c>
      <c r="CN62" s="5">
        <f t="shared" si="51"/>
        <v>0</v>
      </c>
      <c r="CO62" s="5">
        <f t="shared" si="52"/>
        <v>0</v>
      </c>
      <c r="CQ62" s="5">
        <f t="shared" si="53"/>
        <v>0</v>
      </c>
      <c r="CR62" s="5">
        <f t="shared" si="54"/>
        <v>0</v>
      </c>
      <c r="CS62" s="5">
        <f t="shared" si="55"/>
        <v>0</v>
      </c>
      <c r="CT62" s="5">
        <f t="shared" si="56"/>
        <v>0</v>
      </c>
      <c r="CV62" s="5">
        <f t="shared" si="57"/>
        <v>0</v>
      </c>
      <c r="CW62" s="5">
        <f t="shared" si="58"/>
        <v>0</v>
      </c>
      <c r="CX62" s="5">
        <f t="shared" si="59"/>
        <v>0</v>
      </c>
      <c r="CY62" s="5">
        <f t="shared" si="60"/>
        <v>0</v>
      </c>
      <c r="DA62" s="5">
        <f t="shared" si="61"/>
        <v>0</v>
      </c>
      <c r="DB62" s="5">
        <f t="shared" si="62"/>
        <v>0</v>
      </c>
      <c r="DC62" s="5">
        <f t="shared" si="63"/>
        <v>0</v>
      </c>
      <c r="DD62" s="5">
        <f t="shared" si="64"/>
        <v>0</v>
      </c>
      <c r="DF62" s="5">
        <f t="shared" si="65"/>
        <v>0</v>
      </c>
      <c r="DG62" s="5">
        <f t="shared" si="66"/>
        <v>0</v>
      </c>
      <c r="DH62" s="5">
        <f t="shared" si="67"/>
        <v>0</v>
      </c>
      <c r="DI62" s="5">
        <f t="shared" si="68"/>
        <v>0</v>
      </c>
      <c r="DK62" s="5">
        <f t="shared" si="69"/>
        <v>0</v>
      </c>
      <c r="DL62" s="5">
        <f t="shared" si="70"/>
        <v>0</v>
      </c>
      <c r="DM62" s="5">
        <f t="shared" si="71"/>
        <v>0</v>
      </c>
      <c r="DN62" s="5">
        <f t="shared" si="72"/>
        <v>0</v>
      </c>
      <c r="DP62" s="5">
        <f t="shared" si="73"/>
        <v>0</v>
      </c>
      <c r="DQ62" s="5">
        <f t="shared" si="74"/>
        <v>0</v>
      </c>
      <c r="DR62" s="5">
        <f t="shared" si="75"/>
        <v>0</v>
      </c>
      <c r="DS62" s="5">
        <f t="shared" si="76"/>
        <v>0</v>
      </c>
      <c r="DU62" s="5">
        <f t="shared" si="77"/>
        <v>0</v>
      </c>
      <c r="DV62" s="5">
        <f t="shared" si="78"/>
        <v>0</v>
      </c>
      <c r="DW62" s="5">
        <f t="shared" si="79"/>
        <v>0</v>
      </c>
      <c r="DX62" s="5">
        <f t="shared" si="80"/>
        <v>0</v>
      </c>
      <c r="ED62" s="5"/>
      <c r="EE62" s="5"/>
      <c r="EF62" s="5"/>
      <c r="EG62" s="5"/>
      <c r="EH62" s="5"/>
      <c r="EI62" s="5"/>
    </row>
    <row r="63" spans="1:139" ht="12" customHeight="1" x14ac:dyDescent="0.2">
      <c r="A63" s="28">
        <v>18719</v>
      </c>
      <c r="C63" s="3">
        <v>7985000</v>
      </c>
      <c r="D63" s="3">
        <v>159700</v>
      </c>
      <c r="E63" s="3">
        <v>285756</v>
      </c>
      <c r="O63" s="3">
        <f t="shared" si="81"/>
        <v>7985000</v>
      </c>
      <c r="P63" s="3">
        <f t="shared" si="0"/>
        <v>159700</v>
      </c>
      <c r="Q63" s="3">
        <f t="shared" si="1"/>
        <v>8144700</v>
      </c>
      <c r="R63" s="3">
        <f t="shared" si="2"/>
        <v>285756</v>
      </c>
      <c r="T63" s="3"/>
      <c r="U63" s="3"/>
      <c r="W63" s="3"/>
      <c r="Y63" s="5">
        <f>AD63+AI63</f>
        <v>7985000</v>
      </c>
      <c r="Z63" s="5">
        <f t="shared" si="4"/>
        <v>159700</v>
      </c>
      <c r="AA63" s="5">
        <f t="shared" si="5"/>
        <v>8144700</v>
      </c>
      <c r="AB63" s="5">
        <f t="shared" si="4"/>
        <v>285756</v>
      </c>
      <c r="AD63" s="5">
        <f>C63*$AE$7</f>
        <v>1324013.611</v>
      </c>
      <c r="AE63" s="5">
        <f t="shared" si="82"/>
        <v>26480.272219999999</v>
      </c>
      <c r="AF63" s="5">
        <f t="shared" si="7"/>
        <v>1350493.88322</v>
      </c>
      <c r="AG63" s="5">
        <f t="shared" si="8"/>
        <v>47381.945325599998</v>
      </c>
      <c r="AI63" s="5">
        <f>C63*$AJ$7</f>
        <v>6660986.3890000004</v>
      </c>
      <c r="AJ63" s="5">
        <f t="shared" si="83"/>
        <v>133219.72778000002</v>
      </c>
      <c r="AK63" s="5">
        <f t="shared" si="10"/>
        <v>6794206.1167800007</v>
      </c>
      <c r="AL63" s="5">
        <f t="shared" si="11"/>
        <v>238374.05467440002</v>
      </c>
      <c r="AS63" s="3">
        <f t="shared" si="13"/>
        <v>0</v>
      </c>
      <c r="AT63" s="3">
        <f t="shared" si="14"/>
        <v>0</v>
      </c>
      <c r="AU63" s="5">
        <f t="shared" si="15"/>
        <v>0</v>
      </c>
      <c r="AV63" s="3">
        <f t="shared" si="16"/>
        <v>0</v>
      </c>
      <c r="AX63" s="5">
        <f t="shared" si="17"/>
        <v>0</v>
      </c>
      <c r="AY63" s="5">
        <f t="shared" si="18"/>
        <v>0</v>
      </c>
      <c r="AZ63" s="5">
        <f t="shared" si="19"/>
        <v>0</v>
      </c>
      <c r="BA63" s="5">
        <f t="shared" si="20"/>
        <v>0</v>
      </c>
      <c r="BC63" s="5">
        <f t="shared" si="21"/>
        <v>0</v>
      </c>
      <c r="BD63" s="5">
        <f t="shared" si="22"/>
        <v>0</v>
      </c>
      <c r="BE63" s="5">
        <f t="shared" si="23"/>
        <v>0</v>
      </c>
      <c r="BF63" s="5">
        <f t="shared" si="24"/>
        <v>0</v>
      </c>
      <c r="BH63" s="5">
        <f t="shared" si="25"/>
        <v>0</v>
      </c>
      <c r="BI63" s="5">
        <f t="shared" si="26"/>
        <v>0</v>
      </c>
      <c r="BJ63" s="5">
        <f t="shared" si="27"/>
        <v>0</v>
      </c>
      <c r="BK63" s="5">
        <f t="shared" si="28"/>
        <v>0</v>
      </c>
      <c r="BM63" s="5">
        <f t="shared" si="29"/>
        <v>0</v>
      </c>
      <c r="BN63" s="5">
        <f t="shared" si="30"/>
        <v>0</v>
      </c>
      <c r="BO63" s="5">
        <f t="shared" si="31"/>
        <v>0</v>
      </c>
      <c r="BP63" s="5">
        <f t="shared" si="32"/>
        <v>0</v>
      </c>
      <c r="BR63" s="5">
        <f t="shared" si="33"/>
        <v>0</v>
      </c>
      <c r="BS63" s="5">
        <f t="shared" si="34"/>
        <v>0</v>
      </c>
      <c r="BT63" s="5">
        <f t="shared" si="35"/>
        <v>0</v>
      </c>
      <c r="BU63" s="5">
        <f t="shared" si="36"/>
        <v>0</v>
      </c>
      <c r="BW63" s="5">
        <f t="shared" si="37"/>
        <v>0</v>
      </c>
      <c r="BX63" s="5">
        <f t="shared" si="38"/>
        <v>0</v>
      </c>
      <c r="BY63" s="5">
        <f t="shared" si="39"/>
        <v>0</v>
      </c>
      <c r="BZ63" s="5">
        <f t="shared" si="40"/>
        <v>0</v>
      </c>
      <c r="CB63" s="5">
        <f t="shared" si="41"/>
        <v>0</v>
      </c>
      <c r="CC63" s="5">
        <f t="shared" si="42"/>
        <v>0</v>
      </c>
      <c r="CD63" s="5">
        <f t="shared" si="43"/>
        <v>0</v>
      </c>
      <c r="CE63" s="5">
        <f t="shared" si="44"/>
        <v>0</v>
      </c>
      <c r="CG63" s="5">
        <f t="shared" si="45"/>
        <v>0</v>
      </c>
      <c r="CH63" s="5">
        <f t="shared" si="46"/>
        <v>0</v>
      </c>
      <c r="CI63" s="5">
        <f t="shared" si="47"/>
        <v>0</v>
      </c>
      <c r="CJ63" s="5">
        <f t="shared" si="48"/>
        <v>0</v>
      </c>
      <c r="CL63" s="5">
        <f t="shared" si="49"/>
        <v>0</v>
      </c>
      <c r="CM63" s="5">
        <f t="shared" si="50"/>
        <v>0</v>
      </c>
      <c r="CN63" s="5">
        <f t="shared" si="51"/>
        <v>0</v>
      </c>
      <c r="CO63" s="5">
        <f t="shared" si="52"/>
        <v>0</v>
      </c>
      <c r="CQ63" s="5">
        <f t="shared" si="53"/>
        <v>0</v>
      </c>
      <c r="CR63" s="5">
        <f t="shared" si="54"/>
        <v>0</v>
      </c>
      <c r="CS63" s="5">
        <f t="shared" si="55"/>
        <v>0</v>
      </c>
      <c r="CT63" s="5">
        <f t="shared" si="56"/>
        <v>0</v>
      </c>
      <c r="CV63" s="5">
        <f t="shared" si="57"/>
        <v>0</v>
      </c>
      <c r="CW63" s="5">
        <f t="shared" si="58"/>
        <v>0</v>
      </c>
      <c r="CX63" s="5">
        <f t="shared" si="59"/>
        <v>0</v>
      </c>
      <c r="CY63" s="5">
        <f t="shared" si="60"/>
        <v>0</v>
      </c>
      <c r="DA63" s="5">
        <f t="shared" si="61"/>
        <v>0</v>
      </c>
      <c r="DB63" s="5">
        <f t="shared" si="62"/>
        <v>0</v>
      </c>
      <c r="DC63" s="5">
        <f t="shared" si="63"/>
        <v>0</v>
      </c>
      <c r="DD63" s="5">
        <f t="shared" si="64"/>
        <v>0</v>
      </c>
      <c r="DF63" s="5">
        <f t="shared" si="65"/>
        <v>0</v>
      </c>
      <c r="DG63" s="5">
        <f t="shared" si="66"/>
        <v>0</v>
      </c>
      <c r="DH63" s="5">
        <f t="shared" si="67"/>
        <v>0</v>
      </c>
      <c r="DI63" s="5">
        <f t="shared" si="68"/>
        <v>0</v>
      </c>
      <c r="DK63" s="5">
        <f t="shared" si="69"/>
        <v>0</v>
      </c>
      <c r="DL63" s="5">
        <f t="shared" si="70"/>
        <v>0</v>
      </c>
      <c r="DM63" s="5">
        <f t="shared" si="71"/>
        <v>0</v>
      </c>
      <c r="DN63" s="5">
        <f t="shared" si="72"/>
        <v>0</v>
      </c>
      <c r="DP63" s="5">
        <f t="shared" si="73"/>
        <v>0</v>
      </c>
      <c r="DQ63" s="5">
        <f t="shared" si="74"/>
        <v>0</v>
      </c>
      <c r="DR63" s="5">
        <f t="shared" si="75"/>
        <v>0</v>
      </c>
      <c r="DS63" s="5">
        <f t="shared" si="76"/>
        <v>0</v>
      </c>
      <c r="DU63" s="5">
        <f t="shared" si="77"/>
        <v>0</v>
      </c>
      <c r="DV63" s="5">
        <f t="shared" si="78"/>
        <v>0</v>
      </c>
      <c r="DW63" s="5">
        <f t="shared" si="79"/>
        <v>0</v>
      </c>
      <c r="DX63" s="5">
        <f t="shared" si="80"/>
        <v>0</v>
      </c>
      <c r="ED63" s="5"/>
      <c r="EE63" s="5"/>
      <c r="EF63" s="5"/>
      <c r="EG63" s="5"/>
      <c r="EH63" s="5"/>
      <c r="EI63" s="5"/>
    </row>
    <row r="64" spans="1:139" ht="12" customHeight="1" x14ac:dyDescent="0.2">
      <c r="AD64" s="5"/>
      <c r="AE64" s="5"/>
      <c r="AF64" s="5"/>
      <c r="AG64" s="5"/>
      <c r="AS64" s="5"/>
      <c r="AT64" s="3"/>
      <c r="AU64" s="5"/>
      <c r="AV64" s="5"/>
      <c r="BM64" s="5"/>
      <c r="BN64" s="5"/>
      <c r="BO64" s="5"/>
      <c r="BP64" s="5"/>
      <c r="BR64" s="5"/>
      <c r="BS64" s="5"/>
      <c r="BT64" s="5"/>
      <c r="BU64" s="5"/>
      <c r="ED64" s="5"/>
      <c r="EE64" s="5"/>
      <c r="EF64" s="5"/>
      <c r="EG64" s="5"/>
      <c r="EH64" s="5"/>
      <c r="EI64" s="5"/>
    </row>
    <row r="65" spans="1:139" ht="12" customHeight="1" thickBot="1" x14ac:dyDescent="0.25">
      <c r="A65" s="30" t="s">
        <v>4</v>
      </c>
      <c r="C65" s="31">
        <f>SUM(C10:C64)</f>
        <v>64935000</v>
      </c>
      <c r="D65" s="31">
        <f>SUM(D10:D64)</f>
        <v>59526400</v>
      </c>
      <c r="E65" s="31">
        <f>SUM(E10:E64)</f>
        <v>15430824</v>
      </c>
      <c r="F65" s="31">
        <f>SUM(F10:F64)</f>
        <v>104165000</v>
      </c>
      <c r="G65" s="31">
        <f>SUM(G10:G64)</f>
        <v>43158950</v>
      </c>
      <c r="H65" s="31">
        <f>SUM(H10:H64)</f>
        <v>25555828</v>
      </c>
      <c r="I65" s="31">
        <f>SUM(I10:I64)</f>
        <v>9545000</v>
      </c>
      <c r="J65" s="31">
        <f>SUM(J10:J64)</f>
        <v>2001250</v>
      </c>
      <c r="K65" s="31">
        <f>SUM(K10:K64)</f>
        <v>2327626</v>
      </c>
      <c r="L65" s="31">
        <f>SUM(L10:L64)</f>
        <v>13615000</v>
      </c>
      <c r="M65" s="31">
        <f>SUM(M10:M64)</f>
        <v>4121250</v>
      </c>
      <c r="N65" s="31">
        <f>SUM(N10:N64)</f>
        <v>4831008</v>
      </c>
      <c r="O65" s="31">
        <f>SUM(O10:O64)</f>
        <v>192260000</v>
      </c>
      <c r="P65" s="31">
        <f>SUM(P10:P64)</f>
        <v>108807850</v>
      </c>
      <c r="Q65" s="31">
        <f>SUM(Q10:Q64)</f>
        <v>301067850</v>
      </c>
      <c r="R65" s="31">
        <f>SUM(R10:R64)</f>
        <v>48145286</v>
      </c>
      <c r="T65" s="31">
        <f>SUM(T10:T64)</f>
        <v>9545000</v>
      </c>
      <c r="U65" s="31">
        <f>SUM(U10:U64)</f>
        <v>2001249.9999999998</v>
      </c>
      <c r="V65" s="31">
        <f>SUM(V10:V64)</f>
        <v>11546250</v>
      </c>
      <c r="W65" s="31">
        <f>SUM(W10:W64)</f>
        <v>2327625.9999999995</v>
      </c>
      <c r="X65" s="3"/>
      <c r="Y65" s="31">
        <f>SUM(Y10:Y64)</f>
        <v>64935000</v>
      </c>
      <c r="Z65" s="31">
        <f>SUM(Z10:Z64)</f>
        <v>59526400</v>
      </c>
      <c r="AA65" s="31">
        <f>SUM(AA10:AA64)</f>
        <v>124461400</v>
      </c>
      <c r="AB65" s="31">
        <f>SUM(AB10:AB64)</f>
        <v>15430824</v>
      </c>
      <c r="AD65" s="31">
        <f>SUM(AD10:AD64)</f>
        <v>10767041.181</v>
      </c>
      <c r="AE65" s="31">
        <f>SUM(AE10:AE64)</f>
        <v>9870227.1526399981</v>
      </c>
      <c r="AF65" s="31">
        <f>SUM(AF10:AF64)</f>
        <v>20637268.333639998</v>
      </c>
      <c r="AG65" s="31">
        <f>SUM(AG10:AG64)</f>
        <v>2558625.0475823996</v>
      </c>
      <c r="AI65" s="31">
        <f>SUM(AI10:AI64)</f>
        <v>54167958.819000006</v>
      </c>
      <c r="AJ65" s="31">
        <f>SUM(AJ10:AJ64)</f>
        <v>49656172.847360022</v>
      </c>
      <c r="AK65" s="31">
        <f>SUM(AK10:AK64)</f>
        <v>103824131.66636002</v>
      </c>
      <c r="AL65" s="31">
        <f>SUM(AL10:AL64)</f>
        <v>12872198.952417601</v>
      </c>
      <c r="AM65" s="31"/>
      <c r="AN65" s="31">
        <f>SUM(AN10:AN64)</f>
        <v>10160316.863137158</v>
      </c>
      <c r="AO65" s="31">
        <f>SUM(AO10:AO64)</f>
        <v>4209749.987810621</v>
      </c>
      <c r="AP65" s="31">
        <f>SUM(AP10:AP64)</f>
        <v>14370066.850947781</v>
      </c>
      <c r="AQ65" s="31">
        <f>SUM(AQ10:AQ64)</f>
        <v>2492730.8614201779</v>
      </c>
      <c r="AR65" s="31"/>
      <c r="AS65" s="31">
        <f>SUM(AS10:AS64)</f>
        <v>94004683.136862859</v>
      </c>
      <c r="AT65" s="31">
        <f>SUM(AT10:AT64)</f>
        <v>38949200.012189388</v>
      </c>
      <c r="AU65" s="31">
        <f>SUM(AU10:AU64)</f>
        <v>132953883.14905225</v>
      </c>
      <c r="AV65" s="31">
        <f>SUM(AV10:AV64)</f>
        <v>23063097.138579819</v>
      </c>
      <c r="AW65" s="31"/>
      <c r="AX65" s="31">
        <f>SUM(AX10:AX64)</f>
        <v>5539126.8295527212</v>
      </c>
      <c r="AY65" s="31">
        <f>SUM(AY10:AY64)</f>
        <v>2295040.5402997592</v>
      </c>
      <c r="AZ65" s="31">
        <f>SUM(AZ10:AZ64)</f>
        <v>7834167.3698524805</v>
      </c>
      <c r="BA65" s="31">
        <f>SUM(BA10:BA64)</f>
        <v>1358968.6797507287</v>
      </c>
      <c r="BB65" s="31"/>
      <c r="BC65" s="31">
        <f>SUM(BC10:BC64)</f>
        <v>16810107.83968642</v>
      </c>
      <c r="BD65" s="31">
        <f>SUM(BD10:BD64)</f>
        <v>6964974.8355746567</v>
      </c>
      <c r="BE65" s="31">
        <f>SUM(BE10:BE64)</f>
        <v>23775082.675261073</v>
      </c>
      <c r="BF65" s="31">
        <f>SUM(BF10:BF64)</f>
        <v>4124189.7433156776</v>
      </c>
      <c r="BG65" s="31"/>
      <c r="BH65" s="31">
        <f>SUM(BH10:BH64)</f>
        <v>2128693.5072666476</v>
      </c>
      <c r="BI65" s="31">
        <f>SUM(BI10:BI64)</f>
        <v>881987.00758840214</v>
      </c>
      <c r="BJ65" s="31">
        <f>SUM(BJ10:BJ64)</f>
        <v>3010680.5148550491</v>
      </c>
      <c r="BK65" s="31">
        <f>SUM(BK10:BK64)</f>
        <v>522253.39736402081</v>
      </c>
      <c r="BM65" s="31">
        <f>SUM(BM10:BM58)</f>
        <v>23303.042329477958</v>
      </c>
      <c r="BN65" s="31">
        <f>SUM(BN10:BN58)</f>
        <v>9655.2089353028605</v>
      </c>
      <c r="BO65" s="31">
        <f>SUM(BO10:BO58)</f>
        <v>32958.251264780825</v>
      </c>
      <c r="BP65" s="31">
        <f>SUM(BP10:BP64)</f>
        <v>5717.1654744766247</v>
      </c>
      <c r="BR65" s="31">
        <f>SUM(BR10:BR58)</f>
        <v>36998.654762397709</v>
      </c>
      <c r="BS65" s="31">
        <f>SUM(BS10:BS58)</f>
        <v>15329.746949143999</v>
      </c>
      <c r="BT65" s="31">
        <f>SUM(BT10:BT58)</f>
        <v>52328.401711541701</v>
      </c>
      <c r="BU65" s="31">
        <f>SUM(BU10:BU64)</f>
        <v>9077.2453063813828</v>
      </c>
      <c r="BW65" s="31">
        <f>SUM(BW10:BW64)</f>
        <v>2195022.837918533</v>
      </c>
      <c r="BX65" s="31">
        <f>SUM(BX10:BX64)</f>
        <v>909469.40825213923</v>
      </c>
      <c r="BY65" s="31">
        <f>SUM(BY10:BY64)</f>
        <v>3104492.2461706731</v>
      </c>
      <c r="BZ65" s="31">
        <f>SUM(BZ10:BZ64)</f>
        <v>538526.62700444413</v>
      </c>
      <c r="CA65" s="31"/>
      <c r="CB65" s="31">
        <f>SUM(CB10:CB58)</f>
        <v>11265.991513157074</v>
      </c>
      <c r="CC65" s="31">
        <f>SUM(CC10:CC58)</f>
        <v>4667.8669842727459</v>
      </c>
      <c r="CD65" s="31">
        <f>SUM(CD10:CD58)</f>
        <v>15933.858497429825</v>
      </c>
      <c r="CE65" s="31">
        <f>SUM(CE10:CE64)</f>
        <v>2763.9969410041945</v>
      </c>
      <c r="CG65" s="31">
        <f>SUM(CG10:CG58)</f>
        <v>483687.88998000411</v>
      </c>
      <c r="CH65" s="31">
        <f>SUM(CH10:CH58)</f>
        <v>200407.63653100847</v>
      </c>
      <c r="CI65" s="31">
        <f>SUM(CI10:CI58)</f>
        <v>684095.52651101258</v>
      </c>
      <c r="CJ65" s="31">
        <f>SUM(CJ10:CJ64)</f>
        <v>118667.92609813184</v>
      </c>
      <c r="CL65" s="31">
        <f>SUM(CL10:CL58)</f>
        <v>558076.22902393586</v>
      </c>
      <c r="CM65" s="31">
        <f>SUM(CM10:CM58)</f>
        <v>231229.14668681993</v>
      </c>
      <c r="CN65" s="31">
        <f>SUM(CN10:CN58)</f>
        <v>789305.3757107557</v>
      </c>
      <c r="CO65" s="31">
        <f>SUM(CO10:CO64)</f>
        <v>136918.35184394298</v>
      </c>
      <c r="CP65" s="3"/>
      <c r="CQ65" s="31">
        <f>SUM(CQ10:CQ58)</f>
        <v>5710695.3799307365</v>
      </c>
      <c r="CR65" s="31">
        <f>SUM(CR10:CR58)</f>
        <v>2366126.9751611543</v>
      </c>
      <c r="CS65" s="31">
        <f>SUM(CS10:CS58)</f>
        <v>8076822.3550918913</v>
      </c>
      <c r="CT65" s="31">
        <f>SUM(CT10:CT64)</f>
        <v>1401061.2863236652</v>
      </c>
      <c r="CU65" s="3"/>
      <c r="CV65" s="31">
        <f>SUM(CV10:CV58)</f>
        <v>5180242.1910856757</v>
      </c>
      <c r="CW65" s="31">
        <f>SUM(CW10:CW58)</f>
        <v>2146342.9531316385</v>
      </c>
      <c r="CX65" s="31">
        <f>SUM(CX10:CX58)</f>
        <v>7326585.1442173142</v>
      </c>
      <c r="CY65" s="31">
        <f>SUM(CY10:CY64)</f>
        <v>1270919.9676832778</v>
      </c>
      <c r="CZ65" s="3"/>
      <c r="DA65" s="31">
        <f>SUM(DA10:DA58)</f>
        <v>516086.21425385785</v>
      </c>
      <c r="DB65" s="31">
        <f>SUM(DB10:DB58)</f>
        <v>213831.31682111591</v>
      </c>
      <c r="DC65" s="31">
        <f>SUM(DC10:DC58)</f>
        <v>729917.53107497375</v>
      </c>
      <c r="DD65" s="31">
        <f>SUM(DD10:DD64)</f>
        <v>126616.52690100075</v>
      </c>
      <c r="DE65" s="3"/>
      <c r="DF65" s="31">
        <f>SUM(DF10:DF58)</f>
        <v>17866771.431814402</v>
      </c>
      <c r="DG65" s="31">
        <f>SUM(DG10:DG58)</f>
        <v>7402784.9554755073</v>
      </c>
      <c r="DH65" s="31">
        <f>SUM(DH10:DH58)</f>
        <v>25269556.387289904</v>
      </c>
      <c r="DI65" s="31">
        <f>SUM(DI10:DI64)</f>
        <v>4383431.4561202191</v>
      </c>
      <c r="DJ65" s="3"/>
      <c r="DK65" s="31">
        <f>SUM(DK10:DK58)</f>
        <v>36937359.384498082</v>
      </c>
      <c r="DL65" s="31">
        <f>SUM(DL10:DL58)</f>
        <v>15304350.278957264</v>
      </c>
      <c r="DM65" s="31">
        <f>SUM(DM10:DM58)</f>
        <v>52241709.663455352</v>
      </c>
      <c r="DN65" s="31">
        <f>SUM(DN10:DN64)</f>
        <v>9062207.1060761195</v>
      </c>
      <c r="DO65" s="3"/>
      <c r="DP65" s="31">
        <f>SUM(DP10:DP58)</f>
        <v>7245.7132468078162</v>
      </c>
      <c r="DQ65" s="31">
        <f>SUM(DQ10:DQ58)</f>
        <v>3002.134841197294</v>
      </c>
      <c r="DR65" s="31">
        <f>SUM(DR10:DR58)</f>
        <v>10247.848088005107</v>
      </c>
      <c r="DS65" s="31">
        <f>SUM(DS10:DS64)</f>
        <v>1777.6623767363519</v>
      </c>
      <c r="DT65" s="3"/>
      <c r="DU65" s="31">
        <f>SUM(DU10:DU58)</f>
        <v>0</v>
      </c>
      <c r="DV65" s="31">
        <f>SUM(DV10:DV58)</f>
        <v>0</v>
      </c>
      <c r="DW65" s="31">
        <f>SUM(DW10:DW58)</f>
        <v>0</v>
      </c>
      <c r="DX65" s="31">
        <f>SUM(DX10:DX64)</f>
        <v>0</v>
      </c>
      <c r="DZ65" s="31">
        <f>SUM(DZ10:DZ58)</f>
        <v>0</v>
      </c>
      <c r="EA65" s="31">
        <f>SUM(EA10:EA58)</f>
        <v>0</v>
      </c>
      <c r="EB65" s="31">
        <f>SUM(EB10:EB58)</f>
        <v>0</v>
      </c>
      <c r="EC65" s="31">
        <f>SUM(EC10:EC64)</f>
        <v>0</v>
      </c>
      <c r="ED65" s="5"/>
      <c r="EE65" s="5"/>
      <c r="EF65" s="5"/>
      <c r="EG65" s="5"/>
      <c r="EH65" s="5"/>
      <c r="EI65" s="5"/>
    </row>
    <row r="66" spans="1:139" ht="13.5" thickTop="1" x14ac:dyDescent="0.2">
      <c r="AD66" s="5"/>
      <c r="AE66" s="5"/>
      <c r="AF66" s="5"/>
      <c r="AG66" s="5"/>
      <c r="ED66" s="5"/>
      <c r="EE66" s="5"/>
      <c r="EF66" s="5"/>
      <c r="EG66" s="5"/>
      <c r="EH66" s="5"/>
      <c r="EI66" s="5"/>
    </row>
    <row r="67" spans="1:139" x14ac:dyDescent="0.2">
      <c r="C67" s="5">
        <f>AD65+AI65</f>
        <v>64935000.000000007</v>
      </c>
      <c r="D67" s="5">
        <f>AE65+AJ65</f>
        <v>59526400.000000022</v>
      </c>
      <c r="E67" s="3">
        <f>AG65+AL65</f>
        <v>15430824</v>
      </c>
      <c r="F67" s="3">
        <f>AN65+AS65</f>
        <v>104165000.00000001</v>
      </c>
      <c r="G67" s="3">
        <f>AO65+AT65</f>
        <v>43158950.000000007</v>
      </c>
      <c r="H67" s="3">
        <f>AQ65+AV65</f>
        <v>25555827.999999996</v>
      </c>
      <c r="I67" s="3">
        <f>T65</f>
        <v>9545000</v>
      </c>
      <c r="J67" s="3">
        <f>U65</f>
        <v>2001249.9999999998</v>
      </c>
      <c r="K67" s="3">
        <f>W65</f>
        <v>2327625.9999999995</v>
      </c>
      <c r="O67" s="3">
        <f>C65+F65+I65+L65</f>
        <v>192260000</v>
      </c>
      <c r="P67" s="3">
        <f>D65+G65+J65+M65</f>
        <v>108807850</v>
      </c>
      <c r="R67" s="3">
        <f>E65+H65+K65+N65</f>
        <v>48145286</v>
      </c>
      <c r="AB67" s="5">
        <f>AG65+AL65</f>
        <v>15430824</v>
      </c>
      <c r="AD67" s="5"/>
      <c r="AE67" s="5"/>
      <c r="AF67" s="5"/>
      <c r="AG67" s="5"/>
      <c r="AT67" s="5"/>
      <c r="ED67" s="5"/>
      <c r="EE67" s="5"/>
      <c r="EF67" s="5"/>
      <c r="EG67" s="5"/>
      <c r="EH67" s="5"/>
      <c r="EI67" s="5"/>
    </row>
    <row r="68" spans="1:139" s="246" customFormat="1" x14ac:dyDescent="0.2">
      <c r="C68" s="247"/>
      <c r="D68" s="247"/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</row>
    <row r="69" spans="1:139" x14ac:dyDescent="0.2">
      <c r="AD69" s="5"/>
      <c r="AE69" s="5"/>
      <c r="AF69" s="5"/>
      <c r="AG69" s="5"/>
      <c r="ED69" s="5"/>
      <c r="EE69" s="5"/>
      <c r="EF69" s="5"/>
      <c r="EG69" s="5"/>
      <c r="EH69" s="5"/>
      <c r="EI69" s="5"/>
    </row>
    <row r="70" spans="1:139" x14ac:dyDescent="0.2">
      <c r="L70" s="247"/>
      <c r="AD70" s="5"/>
      <c r="AE70" s="5"/>
      <c r="AF70" s="5"/>
      <c r="AG70" s="5"/>
      <c r="ED70" s="5"/>
      <c r="EE70" s="5"/>
      <c r="EF70" s="5"/>
      <c r="EG70" s="5"/>
      <c r="EH70" s="5"/>
      <c r="EI70" s="5"/>
    </row>
    <row r="71" spans="1:139" x14ac:dyDescent="0.2">
      <c r="AD71" s="5"/>
      <c r="AE71" s="5"/>
      <c r="AF71" s="5"/>
      <c r="AG71" s="5"/>
      <c r="ED71" s="5"/>
      <c r="EE71" s="5"/>
      <c r="EF71" s="5"/>
      <c r="EG71" s="5"/>
      <c r="EH71" s="5"/>
      <c r="EI71" s="5"/>
    </row>
    <row r="72" spans="1:139" x14ac:dyDescent="0.2">
      <c r="C72" s="248"/>
      <c r="AD72" s="5"/>
      <c r="AE72" s="5"/>
      <c r="AF72" s="5"/>
      <c r="AG72" s="5"/>
      <c r="ED72" s="5"/>
      <c r="EE72" s="5"/>
      <c r="EF72" s="5"/>
      <c r="EG72" s="5"/>
      <c r="EH72" s="5"/>
      <c r="EI72" s="5"/>
    </row>
    <row r="73" spans="1:139" x14ac:dyDescent="0.2">
      <c r="A73"/>
      <c r="AD73" s="5"/>
      <c r="AE73" s="5"/>
      <c r="AF73" s="5"/>
      <c r="AG73" s="5"/>
      <c r="ED73" s="5"/>
      <c r="EE73" s="5"/>
      <c r="EF73" s="5"/>
      <c r="EG73" s="5"/>
      <c r="EH73" s="5"/>
      <c r="EI73" s="5"/>
    </row>
    <row r="74" spans="1:139" x14ac:dyDescent="0.2">
      <c r="A74"/>
      <c r="AD74" s="5"/>
      <c r="AE74" s="5"/>
      <c r="AF74" s="5"/>
      <c r="AG74" s="5"/>
      <c r="ED74" s="5"/>
      <c r="EE74" s="5"/>
      <c r="EF74" s="5"/>
      <c r="EG74" s="5"/>
      <c r="EH74" s="5"/>
      <c r="EI74" s="5"/>
    </row>
    <row r="75" spans="1:139" x14ac:dyDescent="0.2">
      <c r="A75"/>
      <c r="AD75" s="5"/>
      <c r="AE75" s="5"/>
      <c r="AF75" s="5"/>
      <c r="AG75" s="5"/>
      <c r="ED75" s="5"/>
      <c r="EE75" s="5"/>
      <c r="EF75" s="5"/>
      <c r="EG75" s="5"/>
      <c r="EH75" s="5"/>
      <c r="EI75" s="5"/>
    </row>
    <row r="76" spans="1:139" x14ac:dyDescent="0.2">
      <c r="A76"/>
      <c r="AD76" s="5"/>
      <c r="AE76" s="5"/>
      <c r="AF76" s="5"/>
      <c r="AG76" s="5"/>
      <c r="ED76" s="5"/>
      <c r="EE76" s="5"/>
      <c r="EF76" s="5"/>
      <c r="EG76" s="5"/>
      <c r="EH76" s="5"/>
      <c r="EI76" s="5"/>
    </row>
    <row r="77" spans="1:139" x14ac:dyDescent="0.2">
      <c r="A77"/>
      <c r="AD77" s="5"/>
      <c r="AE77" s="5"/>
      <c r="AF77" s="5"/>
      <c r="AG77" s="5"/>
      <c r="ED77" s="5"/>
      <c r="EE77" s="5"/>
      <c r="EF77" s="5"/>
      <c r="EG77" s="5"/>
      <c r="EH77" s="5"/>
      <c r="EI77" s="5"/>
    </row>
    <row r="78" spans="1:139" x14ac:dyDescent="0.2">
      <c r="A78"/>
      <c r="T78"/>
      <c r="U78"/>
      <c r="V78"/>
      <c r="W78"/>
      <c r="X78"/>
      <c r="Y78"/>
      <c r="Z78"/>
      <c r="AA78"/>
      <c r="AB78"/>
      <c r="AD78" s="5"/>
      <c r="AE78" s="5"/>
      <c r="AF78" s="5"/>
      <c r="AG78" s="5"/>
      <c r="AN78"/>
      <c r="AO78"/>
      <c r="AP78"/>
      <c r="AQ78"/>
      <c r="ED78" s="5"/>
      <c r="EE78" s="5"/>
      <c r="EF78" s="5"/>
      <c r="EG78" s="5"/>
      <c r="EH78" s="5"/>
      <c r="EI78" s="5"/>
    </row>
    <row r="79" spans="1:139" x14ac:dyDescent="0.2">
      <c r="A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 s="5"/>
      <c r="AE79" s="5"/>
      <c r="AF79" s="5"/>
      <c r="AG79" s="5"/>
      <c r="AN79"/>
      <c r="AO79"/>
      <c r="AP79"/>
      <c r="AQ79"/>
      <c r="AR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Q79"/>
      <c r="BV79"/>
      <c r="BW79"/>
      <c r="BX79"/>
      <c r="BY79"/>
      <c r="BZ79"/>
      <c r="CA79"/>
      <c r="ED79" s="5"/>
      <c r="EE79" s="5"/>
      <c r="EF79" s="5"/>
      <c r="EG79" s="5"/>
      <c r="EH79" s="5"/>
      <c r="EI79" s="5"/>
    </row>
    <row r="80" spans="1:139" x14ac:dyDescent="0.2">
      <c r="A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 s="5"/>
      <c r="AE80" s="5"/>
      <c r="AF80" s="5"/>
      <c r="AG80" s="5"/>
      <c r="AN80"/>
      <c r="AO80"/>
      <c r="AP80"/>
      <c r="AQ80"/>
      <c r="AR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Q80"/>
      <c r="BV80"/>
      <c r="BW80"/>
      <c r="BX80"/>
      <c r="BY80"/>
      <c r="BZ80"/>
      <c r="CA80"/>
      <c r="ED80" s="5"/>
      <c r="EE80" s="5"/>
      <c r="EF80" s="5"/>
      <c r="EG80" s="5"/>
      <c r="EH80" s="5"/>
      <c r="EI80" s="5"/>
    </row>
    <row r="81" spans="1:139" x14ac:dyDescent="0.2">
      <c r="A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 s="5"/>
      <c r="AE81" s="5"/>
      <c r="AF81" s="5"/>
      <c r="AG81" s="5"/>
      <c r="AN81"/>
      <c r="AO81"/>
      <c r="AP81"/>
      <c r="AQ81"/>
      <c r="AR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Q81"/>
      <c r="BV81"/>
      <c r="BW81"/>
      <c r="BX81"/>
      <c r="BY81"/>
      <c r="BZ81"/>
      <c r="CA81"/>
      <c r="ED81" s="5"/>
      <c r="EE81" s="5"/>
      <c r="EF81" s="5"/>
      <c r="EG81" s="5"/>
      <c r="EH81" s="5"/>
      <c r="EI81" s="5"/>
    </row>
    <row r="82" spans="1:139" x14ac:dyDescent="0.2">
      <c r="A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 s="5"/>
      <c r="AE82" s="5"/>
      <c r="AF82" s="5"/>
      <c r="AG82" s="5"/>
      <c r="AN82"/>
      <c r="AO82"/>
      <c r="AP82"/>
      <c r="AQ82"/>
      <c r="AR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Q82"/>
      <c r="BV82"/>
      <c r="BW82"/>
      <c r="BX82"/>
      <c r="BY82"/>
      <c r="BZ82"/>
      <c r="CA82"/>
      <c r="ED82" s="5"/>
      <c r="EE82" s="5"/>
      <c r="EF82" s="5"/>
      <c r="EG82" s="5"/>
      <c r="EH82" s="5"/>
      <c r="EI82" s="5"/>
    </row>
    <row r="83" spans="1:139" x14ac:dyDescent="0.2">
      <c r="A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 s="5"/>
      <c r="AE83" s="5"/>
      <c r="AF83" s="5"/>
      <c r="AG83" s="5"/>
      <c r="AN83"/>
      <c r="AO83"/>
      <c r="AP83"/>
      <c r="AQ83"/>
      <c r="AR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Q83"/>
      <c r="BV83"/>
      <c r="BW83"/>
      <c r="BX83"/>
      <c r="BY83"/>
      <c r="BZ83"/>
      <c r="CA83"/>
      <c r="ED83" s="5"/>
      <c r="EE83" s="5"/>
      <c r="EF83" s="5"/>
      <c r="EG83" s="5"/>
      <c r="EH83" s="5"/>
      <c r="EI83" s="5"/>
    </row>
    <row r="84" spans="1:139" x14ac:dyDescent="0.2">
      <c r="A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 s="5"/>
      <c r="AE84" s="5"/>
      <c r="AF84" s="5"/>
      <c r="AG84" s="5"/>
      <c r="AN84"/>
      <c r="AO84"/>
      <c r="AP84"/>
      <c r="AQ84"/>
      <c r="AR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Q84"/>
      <c r="BV84"/>
      <c r="BW84"/>
      <c r="BX84"/>
      <c r="BY84"/>
      <c r="BZ84"/>
      <c r="CA84"/>
      <c r="ED84" s="5"/>
      <c r="EE84" s="5"/>
      <c r="EF84" s="5"/>
      <c r="EG84" s="5"/>
      <c r="EH84" s="5"/>
      <c r="EI84" s="5"/>
    </row>
    <row r="85" spans="1:139" x14ac:dyDescent="0.2">
      <c r="A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 s="5"/>
      <c r="AE85" s="5"/>
      <c r="AF85" s="5"/>
      <c r="AG85" s="5"/>
      <c r="AN85"/>
      <c r="AO85"/>
      <c r="AP85"/>
      <c r="AQ85"/>
      <c r="AR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Q85"/>
      <c r="BV85"/>
      <c r="BW85"/>
      <c r="BX85"/>
      <c r="BY85"/>
      <c r="BZ85"/>
      <c r="CA85"/>
      <c r="ED85" s="5"/>
      <c r="EE85" s="5"/>
      <c r="EF85" s="5"/>
      <c r="EG85" s="5"/>
      <c r="EH85" s="5"/>
      <c r="EI85" s="5"/>
    </row>
    <row r="86" spans="1:139" x14ac:dyDescent="0.2">
      <c r="A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 s="5"/>
      <c r="AE86" s="5"/>
      <c r="AF86" s="5"/>
      <c r="AG86" s="5"/>
      <c r="AN86"/>
      <c r="AO86"/>
      <c r="AP86"/>
      <c r="AQ86"/>
      <c r="AR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Q86"/>
      <c r="BV86"/>
      <c r="BW86"/>
      <c r="BX86"/>
      <c r="BY86"/>
      <c r="BZ86"/>
      <c r="CA86"/>
      <c r="ED86" s="5"/>
      <c r="EE86" s="5"/>
      <c r="EF86" s="5"/>
      <c r="EG86" s="5"/>
      <c r="EH86" s="5"/>
      <c r="EI86" s="5"/>
    </row>
    <row r="87" spans="1:139" x14ac:dyDescent="0.2">
      <c r="A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 s="5"/>
      <c r="AE87" s="5"/>
      <c r="AF87" s="5"/>
      <c r="AG87" s="5"/>
      <c r="AN87"/>
      <c r="AO87"/>
      <c r="AP87"/>
      <c r="AQ87"/>
      <c r="AR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Q87"/>
      <c r="BV87"/>
      <c r="BW87"/>
      <c r="BX87"/>
      <c r="BY87"/>
      <c r="BZ87"/>
      <c r="CA87"/>
      <c r="ED87" s="5"/>
      <c r="EE87" s="5"/>
      <c r="EF87" s="5"/>
      <c r="EG87" s="5"/>
      <c r="EH87" s="5"/>
      <c r="EI87" s="5"/>
    </row>
    <row r="88" spans="1:139" x14ac:dyDescent="0.2">
      <c r="A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 s="5"/>
      <c r="AE88" s="5"/>
      <c r="AF88" s="5"/>
      <c r="AG88" s="5"/>
      <c r="AN88"/>
      <c r="AO88"/>
      <c r="AP88"/>
      <c r="AQ88"/>
      <c r="AR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Q88"/>
      <c r="BV88"/>
      <c r="BW88"/>
      <c r="BX88"/>
      <c r="BY88"/>
      <c r="BZ88"/>
      <c r="CA88"/>
      <c r="ED88" s="5"/>
      <c r="EE88" s="5"/>
      <c r="EF88" s="5"/>
      <c r="EG88" s="5"/>
      <c r="EH88" s="5"/>
      <c r="EI88" s="5"/>
    </row>
    <row r="89" spans="1:139" x14ac:dyDescent="0.2">
      <c r="A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 s="5"/>
      <c r="AE89" s="5"/>
      <c r="AF89" s="5"/>
      <c r="AG89" s="5"/>
      <c r="AN89"/>
      <c r="AO89"/>
      <c r="AP89"/>
      <c r="AQ89"/>
      <c r="AR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Q89"/>
      <c r="BV89"/>
      <c r="BW89"/>
      <c r="BX89"/>
      <c r="BY89"/>
      <c r="BZ89"/>
      <c r="CA89"/>
      <c r="ED89" s="5"/>
      <c r="EE89" s="5"/>
      <c r="EF89" s="5"/>
      <c r="EG89" s="5"/>
      <c r="EH89" s="5"/>
      <c r="EI89" s="5"/>
    </row>
    <row r="90" spans="1:139" x14ac:dyDescent="0.2">
      <c r="A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 s="5"/>
      <c r="AE90" s="5"/>
      <c r="AF90" s="5"/>
      <c r="AG90" s="5"/>
      <c r="AN90"/>
      <c r="AO90"/>
      <c r="AP90"/>
      <c r="AQ90"/>
      <c r="AR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Q90"/>
      <c r="BV90"/>
      <c r="BW90"/>
      <c r="BX90"/>
      <c r="BY90"/>
      <c r="BZ90"/>
      <c r="CA90"/>
      <c r="ED90" s="5"/>
      <c r="EE90" s="5"/>
      <c r="EF90" s="5"/>
      <c r="EG90" s="5"/>
      <c r="EH90" s="5"/>
      <c r="EI90" s="5"/>
    </row>
    <row r="91" spans="1:139" x14ac:dyDescent="0.2">
      <c r="A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 s="5"/>
      <c r="AE91" s="5"/>
      <c r="AF91" s="5"/>
      <c r="AG91" s="5"/>
      <c r="AN91"/>
      <c r="AO91"/>
      <c r="AP91"/>
      <c r="AQ91"/>
      <c r="AR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Q91"/>
      <c r="BV91"/>
      <c r="BW91"/>
      <c r="BX91"/>
      <c r="BY91"/>
      <c r="BZ91"/>
      <c r="CA91"/>
      <c r="ED91" s="5"/>
      <c r="EE91" s="5"/>
      <c r="EF91" s="5"/>
      <c r="EG91" s="5"/>
      <c r="EH91" s="5"/>
      <c r="EI91" s="5"/>
    </row>
    <row r="92" spans="1:139" x14ac:dyDescent="0.2">
      <c r="A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 s="5"/>
      <c r="AE92" s="5"/>
      <c r="AF92" s="5"/>
      <c r="AG92" s="5"/>
      <c r="AN92"/>
      <c r="AO92"/>
      <c r="AP92"/>
      <c r="AQ92"/>
      <c r="AR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Q92"/>
      <c r="BV92"/>
      <c r="BW92"/>
      <c r="BX92"/>
      <c r="BY92"/>
      <c r="BZ92"/>
      <c r="CA92"/>
      <c r="ED92" s="5"/>
      <c r="EE92" s="5"/>
      <c r="EF92" s="5"/>
      <c r="EG92" s="5"/>
      <c r="EH92" s="5"/>
      <c r="EI92" s="5"/>
    </row>
    <row r="93" spans="1:139" x14ac:dyDescent="0.2">
      <c r="A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 s="5"/>
      <c r="AE93" s="5"/>
      <c r="AF93" s="5"/>
      <c r="AG93" s="5"/>
      <c r="AN93"/>
      <c r="AO93"/>
      <c r="AP93"/>
      <c r="AQ93"/>
      <c r="AR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Q93"/>
      <c r="BV93"/>
      <c r="BW93"/>
      <c r="BX93"/>
      <c r="BY93"/>
      <c r="BZ93"/>
      <c r="CA93"/>
      <c r="ED93" s="5"/>
      <c r="EE93" s="5"/>
      <c r="EF93" s="5"/>
      <c r="EG93" s="5"/>
      <c r="EH93" s="5"/>
      <c r="EI93" s="5"/>
    </row>
    <row r="94" spans="1:139" x14ac:dyDescent="0.2">
      <c r="A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 s="5"/>
      <c r="AE94" s="5"/>
      <c r="AF94" s="5"/>
      <c r="AG94" s="5"/>
      <c r="AN94"/>
      <c r="AO94"/>
      <c r="AP94"/>
      <c r="AQ94"/>
      <c r="AR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Q94"/>
      <c r="BV94"/>
      <c r="BW94"/>
      <c r="BX94"/>
      <c r="BY94"/>
      <c r="BZ94"/>
      <c r="CA94"/>
      <c r="ED94" s="5"/>
      <c r="EE94" s="5"/>
      <c r="EF94" s="5"/>
      <c r="EG94" s="5"/>
      <c r="EH94" s="5"/>
      <c r="EI94" s="5"/>
    </row>
    <row r="95" spans="1:139" x14ac:dyDescent="0.2">
      <c r="A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 s="5"/>
      <c r="AE95" s="5"/>
      <c r="AF95" s="5"/>
      <c r="AG95" s="5"/>
      <c r="AN95"/>
      <c r="AO95"/>
      <c r="AP95"/>
      <c r="AQ95"/>
      <c r="AR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Q95"/>
      <c r="BV95"/>
      <c r="BW95"/>
      <c r="BX95"/>
      <c r="BY95"/>
      <c r="BZ95"/>
      <c r="CA95"/>
      <c r="ED95" s="5"/>
      <c r="EE95" s="5"/>
      <c r="EF95" s="5"/>
      <c r="EG95" s="5"/>
      <c r="EH95" s="5"/>
      <c r="EI95" s="5"/>
    </row>
    <row r="96" spans="1:139" x14ac:dyDescent="0.2">
      <c r="A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 s="5"/>
      <c r="AE96" s="5"/>
      <c r="AF96" s="5"/>
      <c r="AG96" s="5"/>
      <c r="AN96"/>
      <c r="AO96"/>
      <c r="AP96"/>
      <c r="AQ96"/>
      <c r="AR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Q96"/>
      <c r="BV96"/>
      <c r="BW96"/>
      <c r="BX96"/>
      <c r="BY96"/>
      <c r="BZ96"/>
      <c r="CA96"/>
      <c r="ED96" s="5"/>
      <c r="EE96" s="5"/>
      <c r="EF96" s="5"/>
      <c r="EG96" s="5"/>
      <c r="EH96" s="5"/>
      <c r="EI96" s="5"/>
    </row>
    <row r="97" spans="1:139" x14ac:dyDescent="0.2">
      <c r="A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 s="5"/>
      <c r="AE97" s="5"/>
      <c r="AF97" s="5"/>
      <c r="AG97" s="5"/>
      <c r="AN97"/>
      <c r="AO97"/>
      <c r="AP97"/>
      <c r="AQ97"/>
      <c r="AR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Q97"/>
      <c r="BV97"/>
      <c r="BW97"/>
      <c r="BX97"/>
      <c r="BY97"/>
      <c r="BZ97"/>
      <c r="CA97"/>
      <c r="ED97" s="5"/>
      <c r="EE97" s="5"/>
      <c r="EF97" s="5"/>
      <c r="EG97" s="5"/>
      <c r="EH97" s="5"/>
      <c r="EI97" s="5"/>
    </row>
    <row r="98" spans="1:139" x14ac:dyDescent="0.2">
      <c r="A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 s="5"/>
      <c r="AE98" s="5"/>
      <c r="AF98" s="5"/>
      <c r="AG98" s="5"/>
      <c r="AN98"/>
      <c r="AO98"/>
      <c r="AP98"/>
      <c r="AQ98"/>
      <c r="AR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Q98"/>
      <c r="BV98"/>
      <c r="BW98"/>
      <c r="BX98"/>
      <c r="BY98"/>
      <c r="BZ98"/>
      <c r="CA98"/>
      <c r="ED98" s="5"/>
      <c r="EE98" s="5"/>
      <c r="EF98" s="5"/>
      <c r="EG98" s="5"/>
      <c r="EH98" s="5"/>
      <c r="EI98" s="5"/>
    </row>
    <row r="99" spans="1:139" x14ac:dyDescent="0.2">
      <c r="A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 s="5"/>
      <c r="AE99" s="5"/>
      <c r="AF99" s="5"/>
      <c r="AG99" s="5"/>
      <c r="AN99"/>
      <c r="AO99"/>
      <c r="AP99"/>
      <c r="AQ99"/>
      <c r="AR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Q99"/>
      <c r="BV99"/>
      <c r="BW99"/>
      <c r="BX99"/>
      <c r="BY99"/>
      <c r="BZ99"/>
      <c r="CA99"/>
      <c r="ED99" s="5"/>
      <c r="EE99" s="5"/>
      <c r="EF99" s="5"/>
      <c r="EG99" s="5"/>
      <c r="EH99" s="5"/>
      <c r="EI99" s="5"/>
    </row>
    <row r="100" spans="1:139" x14ac:dyDescent="0.2"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 s="5"/>
      <c r="AE100" s="5"/>
      <c r="AF100" s="5"/>
      <c r="AG100" s="5"/>
      <c r="AN100"/>
      <c r="AO100"/>
      <c r="AP100"/>
      <c r="AQ100"/>
      <c r="AR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Q100"/>
      <c r="BV100"/>
      <c r="BW100"/>
      <c r="BX100"/>
      <c r="BY100"/>
      <c r="BZ100"/>
      <c r="CA100"/>
      <c r="ED100" s="5"/>
      <c r="EE100" s="5"/>
      <c r="EF100" s="5"/>
      <c r="EG100" s="5"/>
      <c r="EH100" s="5"/>
      <c r="EI100" s="5"/>
    </row>
    <row r="101" spans="1:139" x14ac:dyDescent="0.2"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 s="5"/>
      <c r="AE101" s="5"/>
      <c r="AF101" s="5"/>
      <c r="AG101" s="5"/>
      <c r="AN101"/>
      <c r="AO101"/>
      <c r="AP101"/>
      <c r="AQ101"/>
      <c r="AR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Q101"/>
      <c r="BV101"/>
      <c r="BW101"/>
      <c r="BX101"/>
      <c r="BY101"/>
      <c r="BZ101"/>
      <c r="CA101"/>
      <c r="ED101" s="5"/>
      <c r="EE101" s="5"/>
      <c r="EF101" s="5"/>
      <c r="EG101" s="5"/>
      <c r="EH101" s="5"/>
      <c r="EI101" s="5"/>
    </row>
    <row r="102" spans="1:139" x14ac:dyDescent="0.2"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 s="5"/>
      <c r="AE102" s="5"/>
      <c r="AF102" s="5"/>
      <c r="AG102" s="5"/>
      <c r="AN102"/>
      <c r="AO102"/>
      <c r="AP102"/>
      <c r="AQ102"/>
      <c r="AR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Q102"/>
      <c r="BV102"/>
      <c r="BW102"/>
      <c r="BX102"/>
      <c r="BY102"/>
      <c r="BZ102"/>
      <c r="CA102"/>
      <c r="ED102" s="5"/>
      <c r="EE102" s="5"/>
      <c r="EF102" s="5"/>
      <c r="EG102" s="5"/>
      <c r="EH102" s="5"/>
      <c r="EI102" s="5"/>
    </row>
    <row r="103" spans="1:139" x14ac:dyDescent="0.2"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 s="5"/>
      <c r="AE103" s="5"/>
      <c r="AF103" s="5"/>
      <c r="AG103" s="5"/>
      <c r="AN103"/>
      <c r="AO103"/>
      <c r="AP103"/>
      <c r="AQ103"/>
      <c r="AR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Q103"/>
      <c r="BV103"/>
      <c r="BW103"/>
      <c r="BX103"/>
      <c r="BY103"/>
      <c r="BZ103"/>
      <c r="CA103"/>
      <c r="ED103" s="5"/>
      <c r="EE103" s="5"/>
      <c r="EF103" s="5"/>
      <c r="EG103" s="5"/>
      <c r="EH103" s="5"/>
      <c r="EI103" s="5"/>
    </row>
    <row r="104" spans="1:139" x14ac:dyDescent="0.2"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 s="5"/>
      <c r="AE104" s="5"/>
      <c r="AF104" s="5"/>
      <c r="AG104" s="5"/>
      <c r="AN104"/>
      <c r="AO104"/>
      <c r="AP104"/>
      <c r="AQ104"/>
      <c r="AR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Q104"/>
      <c r="BV104"/>
      <c r="BW104"/>
      <c r="BX104"/>
      <c r="BY104"/>
      <c r="BZ104"/>
      <c r="CA104"/>
      <c r="ED104" s="5"/>
      <c r="EE104" s="5"/>
      <c r="EF104" s="5"/>
      <c r="EG104" s="5"/>
      <c r="EH104" s="5"/>
      <c r="EI104" s="5"/>
    </row>
    <row r="105" spans="1:139" x14ac:dyDescent="0.2"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AC105"/>
      <c r="AD105" s="5"/>
      <c r="AE105" s="5"/>
      <c r="AF105" s="5"/>
      <c r="AG105" s="5"/>
      <c r="AR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Q105"/>
      <c r="BV105"/>
      <c r="BW105"/>
      <c r="BX105"/>
      <c r="BY105"/>
      <c r="BZ105"/>
      <c r="CA105"/>
      <c r="ED105" s="5"/>
      <c r="EE105" s="5"/>
      <c r="EF105" s="5"/>
      <c r="EG105" s="5"/>
      <c r="EH105" s="5"/>
      <c r="EI105" s="5"/>
    </row>
    <row r="106" spans="1:139" x14ac:dyDescent="0.2">
      <c r="AD106" s="5"/>
      <c r="AE106" s="5"/>
      <c r="AF106" s="5"/>
      <c r="AG106" s="5"/>
      <c r="ED106" s="5"/>
      <c r="EE106" s="5"/>
      <c r="EF106" s="5"/>
      <c r="EG106" s="5"/>
      <c r="EH106" s="5"/>
      <c r="EI106" s="5"/>
    </row>
    <row r="107" spans="1:139" x14ac:dyDescent="0.2">
      <c r="AD107" s="5"/>
      <c r="AE107" s="5"/>
      <c r="AF107" s="5"/>
      <c r="AG107" s="5"/>
      <c r="ED107" s="5"/>
      <c r="EE107" s="5"/>
      <c r="EF107" s="5"/>
      <c r="EG107" s="5"/>
      <c r="EH107" s="5"/>
      <c r="EI107" s="5"/>
    </row>
    <row r="108" spans="1:139" x14ac:dyDescent="0.2">
      <c r="AD108" s="5"/>
      <c r="AE108" s="5"/>
      <c r="AF108" s="5"/>
      <c r="AG108" s="5"/>
      <c r="ED108" s="5"/>
      <c r="EE108" s="5"/>
      <c r="EF108" s="5"/>
      <c r="EG108" s="5"/>
      <c r="EH108" s="5"/>
      <c r="EI108" s="5"/>
    </row>
    <row r="109" spans="1:139" x14ac:dyDescent="0.2">
      <c r="AD109" s="5"/>
      <c r="AE109" s="5"/>
      <c r="AF109" s="5"/>
      <c r="AG109" s="5"/>
      <c r="ED109" s="5"/>
      <c r="EE109" s="5"/>
      <c r="EF109" s="5"/>
      <c r="EG109" s="5"/>
      <c r="EH109" s="5"/>
      <c r="EI109" s="5"/>
    </row>
    <row r="110" spans="1:139" x14ac:dyDescent="0.2">
      <c r="AD110" s="5"/>
      <c r="AE110" s="5"/>
      <c r="AF110" s="5"/>
      <c r="AG110" s="5"/>
      <c r="ED110" s="5"/>
      <c r="EE110" s="5"/>
      <c r="EF110" s="5"/>
      <c r="EG110" s="5"/>
      <c r="EH110" s="5"/>
      <c r="EI110" s="5"/>
    </row>
    <row r="111" spans="1:139" x14ac:dyDescent="0.2">
      <c r="AD111" s="5"/>
      <c r="AE111" s="5"/>
      <c r="AF111" s="5"/>
      <c r="AG111" s="5"/>
      <c r="ED111" s="5"/>
      <c r="EE111" s="5"/>
      <c r="EF111" s="5"/>
      <c r="EG111" s="5"/>
      <c r="EH111" s="5"/>
      <c r="EI111" s="5"/>
    </row>
    <row r="112" spans="1:139" x14ac:dyDescent="0.2">
      <c r="AD112" s="5"/>
      <c r="AE112" s="5"/>
      <c r="AF112" s="5"/>
      <c r="AG112" s="5"/>
      <c r="ED112" s="5"/>
      <c r="EE112" s="5"/>
      <c r="EF112" s="5"/>
      <c r="EG112" s="5"/>
      <c r="EH112" s="5"/>
      <c r="EI112" s="5"/>
    </row>
    <row r="113" spans="30:139" x14ac:dyDescent="0.2">
      <c r="AD113" s="5"/>
      <c r="AE113" s="5"/>
      <c r="AF113" s="5"/>
      <c r="AG113" s="5"/>
      <c r="ED113" s="5"/>
      <c r="EE113" s="5"/>
      <c r="EF113" s="5"/>
      <c r="EG113" s="5"/>
      <c r="EH113" s="5"/>
      <c r="EI113" s="5"/>
    </row>
    <row r="114" spans="30:139" x14ac:dyDescent="0.2">
      <c r="AD114" s="5"/>
      <c r="AE114" s="5"/>
      <c r="AF114" s="5"/>
      <c r="AG114" s="5"/>
      <c r="ED114" s="5"/>
      <c r="EE114" s="5"/>
      <c r="EF114" s="5"/>
      <c r="EG114" s="5"/>
      <c r="EH114" s="5"/>
      <c r="EI114" s="5"/>
    </row>
    <row r="115" spans="30:139" x14ac:dyDescent="0.2">
      <c r="AD115" s="5"/>
      <c r="AE115" s="5"/>
      <c r="AF115" s="5"/>
      <c r="AG115" s="5"/>
      <c r="ED115" s="5"/>
      <c r="EE115" s="5"/>
      <c r="EF115" s="5"/>
      <c r="EG115" s="5"/>
      <c r="EH115" s="5"/>
      <c r="EI115" s="5"/>
    </row>
    <row r="116" spans="30:139" x14ac:dyDescent="0.2">
      <c r="AD116" s="5"/>
      <c r="AE116" s="5"/>
      <c r="AF116" s="5"/>
      <c r="AG116" s="5"/>
      <c r="ED116" s="5"/>
      <c r="EE116" s="5"/>
      <c r="EF116" s="5"/>
      <c r="EG116" s="5"/>
      <c r="EH116" s="5"/>
      <c r="EI116" s="5"/>
    </row>
    <row r="117" spans="30:139" x14ac:dyDescent="0.2">
      <c r="AD117" s="5"/>
      <c r="AE117" s="5"/>
      <c r="AF117" s="5"/>
      <c r="AG117" s="5"/>
      <c r="ED117" s="5"/>
      <c r="EE117" s="5"/>
      <c r="EF117" s="5"/>
      <c r="EG117" s="5"/>
      <c r="EH117" s="5"/>
      <c r="EI117" s="5"/>
    </row>
    <row r="118" spans="30:139" x14ac:dyDescent="0.2">
      <c r="AD118" s="5"/>
      <c r="AE118" s="5"/>
      <c r="AF118" s="5"/>
      <c r="AG118" s="5"/>
      <c r="ED118" s="5"/>
      <c r="EE118" s="5"/>
      <c r="EF118" s="5"/>
      <c r="EG118" s="5"/>
      <c r="EH118" s="5"/>
      <c r="EI118" s="5"/>
    </row>
    <row r="119" spans="30:139" x14ac:dyDescent="0.2">
      <c r="AD119" s="5"/>
      <c r="AE119" s="5"/>
      <c r="AF119" s="5"/>
      <c r="AG119" s="5"/>
      <c r="ED119" s="5"/>
      <c r="EE119" s="5"/>
      <c r="EF119" s="5"/>
      <c r="EG119" s="5"/>
      <c r="EH119" s="5"/>
      <c r="EI119" s="5"/>
    </row>
    <row r="120" spans="30:139" x14ac:dyDescent="0.2">
      <c r="AD120" s="5"/>
      <c r="AE120" s="5"/>
      <c r="AF120" s="5"/>
      <c r="AG120" s="5"/>
      <c r="ED120" s="5"/>
      <c r="EE120" s="5"/>
      <c r="EF120" s="5"/>
      <c r="EG120" s="5"/>
      <c r="EH120" s="5"/>
      <c r="EI120" s="5"/>
    </row>
    <row r="121" spans="30:139" x14ac:dyDescent="0.2">
      <c r="AD121" s="5"/>
      <c r="AE121" s="5"/>
      <c r="AF121" s="5"/>
      <c r="AG121" s="5"/>
      <c r="ED121" s="5"/>
      <c r="EE121" s="5"/>
      <c r="EF121" s="5"/>
      <c r="EG121" s="5"/>
      <c r="EH121" s="5"/>
      <c r="EI121" s="5"/>
    </row>
    <row r="122" spans="30:139" x14ac:dyDescent="0.2">
      <c r="AD122" s="5"/>
      <c r="AE122" s="5"/>
      <c r="AF122" s="5"/>
      <c r="AG122" s="5"/>
      <c r="ED122" s="5"/>
      <c r="EE122" s="5"/>
      <c r="EF122" s="5"/>
      <c r="EG122" s="5"/>
      <c r="EH122" s="5"/>
      <c r="EI122" s="5"/>
    </row>
    <row r="123" spans="30:139" x14ac:dyDescent="0.2">
      <c r="AD123" s="5"/>
      <c r="AE123" s="5"/>
      <c r="AF123" s="5"/>
      <c r="AG123" s="5"/>
      <c r="ED123" s="5"/>
      <c r="EE123" s="5"/>
      <c r="EF123" s="5"/>
      <c r="EG123" s="5"/>
      <c r="EH123" s="5"/>
      <c r="EI123" s="5"/>
    </row>
    <row r="124" spans="30:139" x14ac:dyDescent="0.2">
      <c r="AD124" s="5"/>
      <c r="AE124" s="5"/>
      <c r="AF124" s="5"/>
      <c r="AG124" s="5"/>
      <c r="ED124" s="5"/>
      <c r="EE124" s="5"/>
      <c r="EF124" s="5"/>
      <c r="EG124" s="5"/>
      <c r="EH124" s="5"/>
      <c r="EI124" s="5"/>
    </row>
    <row r="125" spans="30:139" x14ac:dyDescent="0.2">
      <c r="AD125" s="5"/>
      <c r="AE125" s="5"/>
      <c r="AF125" s="5"/>
      <c r="AG125" s="5"/>
      <c r="ED125" s="5"/>
      <c r="EE125" s="5"/>
      <c r="EF125" s="5"/>
      <c r="EG125" s="5"/>
      <c r="EH125" s="5"/>
      <c r="EI125" s="5"/>
    </row>
    <row r="126" spans="30:139" x14ac:dyDescent="0.2">
      <c r="AD126" s="5"/>
      <c r="AE126" s="5"/>
      <c r="AF126" s="5"/>
      <c r="AG126" s="5"/>
      <c r="ED126" s="5"/>
      <c r="EE126" s="5"/>
      <c r="EF126" s="5"/>
      <c r="EG126" s="5"/>
      <c r="EH126" s="5"/>
      <c r="EI126" s="5"/>
    </row>
    <row r="127" spans="30:139" x14ac:dyDescent="0.2">
      <c r="AD127" s="5"/>
      <c r="AE127" s="5"/>
      <c r="AF127" s="5"/>
      <c r="AG127" s="5"/>
      <c r="ED127" s="5"/>
      <c r="EE127" s="5"/>
      <c r="EF127" s="5"/>
      <c r="EG127" s="5"/>
      <c r="EH127" s="5"/>
      <c r="EI127" s="5"/>
    </row>
    <row r="128" spans="30:139" x14ac:dyDescent="0.2">
      <c r="AD128" s="5"/>
      <c r="AE128" s="5"/>
      <c r="AF128" s="5"/>
      <c r="AG128" s="5"/>
      <c r="ED128" s="5"/>
      <c r="EE128" s="5"/>
      <c r="EF128" s="5"/>
      <c r="EG128" s="5"/>
      <c r="EH128" s="5"/>
      <c r="EI128" s="5"/>
    </row>
    <row r="129" spans="30:139" x14ac:dyDescent="0.2">
      <c r="AD129" s="5"/>
      <c r="AE129" s="5"/>
      <c r="AF129" s="5"/>
      <c r="AG129" s="5"/>
      <c r="ED129" s="5"/>
      <c r="EE129" s="5"/>
      <c r="EF129" s="5"/>
      <c r="EG129" s="5"/>
      <c r="EH129" s="5"/>
      <c r="EI129" s="5"/>
    </row>
    <row r="130" spans="30:139" x14ac:dyDescent="0.2">
      <c r="AD130" s="5"/>
      <c r="AE130" s="5"/>
      <c r="AF130" s="5"/>
      <c r="AG130" s="5"/>
      <c r="ED130" s="5"/>
      <c r="EE130" s="5"/>
      <c r="EF130" s="5"/>
      <c r="EG130" s="5"/>
      <c r="EH130" s="5"/>
      <c r="EI130" s="5"/>
    </row>
    <row r="131" spans="30:139" x14ac:dyDescent="0.2">
      <c r="AD131" s="5"/>
      <c r="AE131" s="5"/>
      <c r="AF131" s="5"/>
      <c r="AG131" s="5"/>
      <c r="ED131" s="5"/>
      <c r="EE131" s="5"/>
      <c r="EF131" s="5"/>
      <c r="EG131" s="5"/>
      <c r="EH131" s="5"/>
      <c r="EI131" s="5"/>
    </row>
    <row r="132" spans="30:139" x14ac:dyDescent="0.2">
      <c r="AD132" s="5"/>
      <c r="AE132" s="5"/>
      <c r="AF132" s="5"/>
      <c r="AG132" s="5"/>
      <c r="ED132" s="5"/>
      <c r="EE132" s="5"/>
      <c r="EF132" s="5"/>
      <c r="EG132" s="5"/>
      <c r="EH132" s="5"/>
      <c r="EI132" s="5"/>
    </row>
    <row r="133" spans="30:139" x14ac:dyDescent="0.2">
      <c r="AD133" s="5"/>
      <c r="AE133" s="5"/>
      <c r="AF133" s="5"/>
      <c r="AG133" s="5"/>
      <c r="ED133" s="5"/>
      <c r="EE133" s="5"/>
      <c r="EF133" s="5"/>
      <c r="EG133" s="5"/>
      <c r="EH133" s="5"/>
      <c r="EI133" s="5"/>
    </row>
    <row r="134" spans="30:139" x14ac:dyDescent="0.2">
      <c r="AD134" s="5"/>
      <c r="AE134" s="5"/>
      <c r="AF134" s="5"/>
      <c r="AG134" s="5"/>
      <c r="ED134" s="5"/>
      <c r="EE134" s="5"/>
      <c r="EF134" s="5"/>
      <c r="EG134" s="5"/>
      <c r="EH134" s="5"/>
      <c r="EI134" s="5"/>
    </row>
    <row r="135" spans="30:139" x14ac:dyDescent="0.2">
      <c r="AD135" s="5"/>
      <c r="AE135" s="5"/>
      <c r="AF135" s="5"/>
      <c r="AG135" s="5"/>
      <c r="ED135" s="5"/>
      <c r="EE135" s="5"/>
      <c r="EF135" s="5"/>
      <c r="EG135" s="5"/>
      <c r="EH135" s="5"/>
      <c r="EI135" s="5"/>
    </row>
    <row r="136" spans="30:139" x14ac:dyDescent="0.2">
      <c r="AD136" s="5"/>
      <c r="AE136" s="5"/>
      <c r="AF136" s="5"/>
      <c r="AG136" s="5"/>
      <c r="ED136" s="5"/>
      <c r="EE136" s="5"/>
      <c r="EF136" s="5"/>
      <c r="EG136" s="5"/>
      <c r="EH136" s="5"/>
      <c r="EI136" s="5"/>
    </row>
    <row r="137" spans="30:139" x14ac:dyDescent="0.2">
      <c r="AD137" s="5"/>
      <c r="AE137" s="5"/>
      <c r="AF137" s="5"/>
      <c r="AG137" s="5"/>
      <c r="ED137" s="5"/>
      <c r="EE137" s="5"/>
      <c r="EF137" s="5"/>
      <c r="EG137" s="5"/>
      <c r="EH137" s="5"/>
      <c r="EI137" s="5"/>
    </row>
    <row r="138" spans="30:139" x14ac:dyDescent="0.2">
      <c r="AD138" s="5"/>
      <c r="AE138" s="5"/>
      <c r="AF138" s="5"/>
      <c r="AG138" s="5"/>
      <c r="ED138" s="5"/>
      <c r="EE138" s="5"/>
      <c r="EF138" s="5"/>
      <c r="EG138" s="5"/>
      <c r="EH138" s="5"/>
      <c r="EI138" s="5"/>
    </row>
    <row r="139" spans="30:139" x14ac:dyDescent="0.2">
      <c r="AD139" s="5"/>
      <c r="AE139" s="5"/>
      <c r="AF139" s="5"/>
      <c r="AG139" s="5"/>
      <c r="ED139" s="5"/>
      <c r="EE139" s="5"/>
      <c r="EF139" s="5"/>
      <c r="EG139" s="5"/>
      <c r="EH139" s="5"/>
      <c r="EI139" s="5"/>
    </row>
    <row r="140" spans="30:139" x14ac:dyDescent="0.2">
      <c r="AD140" s="5"/>
      <c r="AE140" s="5"/>
      <c r="AF140" s="5"/>
      <c r="AG140" s="5"/>
      <c r="ED140" s="5"/>
      <c r="EE140" s="5"/>
      <c r="EF140" s="5"/>
      <c r="EG140" s="5"/>
      <c r="EH140" s="5"/>
      <c r="EI140" s="5"/>
    </row>
    <row r="141" spans="30:139" x14ac:dyDescent="0.2">
      <c r="AD141" s="5"/>
      <c r="AE141" s="5"/>
      <c r="AF141" s="5"/>
      <c r="AG141" s="5"/>
      <c r="ED141" s="5"/>
      <c r="EE141" s="5"/>
      <c r="EF141" s="5"/>
      <c r="EG141" s="5"/>
      <c r="EH141" s="5"/>
      <c r="EI141" s="5"/>
    </row>
    <row r="142" spans="30:139" x14ac:dyDescent="0.2">
      <c r="AD142" s="5"/>
      <c r="AE142" s="5"/>
      <c r="AF142" s="5"/>
      <c r="AG142" s="5"/>
      <c r="ED142" s="5"/>
      <c r="EE142" s="5"/>
      <c r="EF142" s="5"/>
      <c r="EG142" s="5"/>
      <c r="EH142" s="5"/>
      <c r="EI142" s="5"/>
    </row>
    <row r="143" spans="30:139" x14ac:dyDescent="0.2">
      <c r="AD143" s="5"/>
      <c r="AE143" s="5"/>
      <c r="AF143" s="5"/>
      <c r="AG143" s="5"/>
      <c r="ED143" s="5"/>
      <c r="EE143" s="5"/>
      <c r="EF143" s="5"/>
      <c r="EG143" s="5"/>
      <c r="EH143" s="5"/>
      <c r="EI143" s="5"/>
    </row>
    <row r="144" spans="30:139" x14ac:dyDescent="0.2">
      <c r="AD144" s="5"/>
      <c r="AE144" s="5"/>
      <c r="AF144" s="5"/>
      <c r="AG144" s="5"/>
      <c r="ED144" s="5"/>
      <c r="EE144" s="5"/>
      <c r="EF144" s="5"/>
      <c r="EG144" s="5"/>
      <c r="EH144" s="5"/>
      <c r="EI144" s="5"/>
    </row>
    <row r="145" spans="30:139" x14ac:dyDescent="0.2">
      <c r="AD145" s="5"/>
      <c r="AE145" s="5"/>
      <c r="AF145" s="5"/>
      <c r="AG145" s="5"/>
      <c r="ED145" s="5"/>
      <c r="EE145" s="5"/>
      <c r="EF145" s="5"/>
      <c r="EG145" s="5"/>
      <c r="EH145" s="5"/>
      <c r="EI145" s="5"/>
    </row>
    <row r="146" spans="30:139" x14ac:dyDescent="0.2">
      <c r="AD146" s="5"/>
      <c r="AE146" s="5"/>
      <c r="AF146" s="5"/>
      <c r="AG146" s="5"/>
      <c r="ED146" s="5"/>
      <c r="EE146" s="5"/>
      <c r="EF146" s="5"/>
      <c r="EG146" s="5"/>
      <c r="EH146" s="5"/>
      <c r="EI146" s="5"/>
    </row>
    <row r="147" spans="30:139" x14ac:dyDescent="0.2">
      <c r="AD147" s="5"/>
      <c r="AE147" s="5"/>
      <c r="AF147" s="5"/>
      <c r="AG147" s="5"/>
      <c r="ED147" s="5"/>
      <c r="EE147" s="5"/>
      <c r="EF147" s="5"/>
      <c r="EG147" s="5"/>
      <c r="EH147" s="5"/>
      <c r="EI147" s="5"/>
    </row>
    <row r="148" spans="30:139" x14ac:dyDescent="0.2">
      <c r="AD148" s="5"/>
      <c r="AE148" s="5"/>
      <c r="AF148" s="5"/>
      <c r="AG148" s="5"/>
      <c r="ED148" s="5"/>
      <c r="EE148" s="5"/>
      <c r="EF148" s="5"/>
      <c r="EG148" s="5"/>
      <c r="EH148" s="5"/>
      <c r="EI148" s="5"/>
    </row>
    <row r="149" spans="30:139" x14ac:dyDescent="0.2">
      <c r="AD149" s="5"/>
      <c r="AE149" s="5"/>
      <c r="AF149" s="5"/>
      <c r="AG149" s="5"/>
      <c r="ED149" s="5"/>
      <c r="EE149" s="5"/>
      <c r="EF149" s="5"/>
      <c r="EG149" s="5"/>
      <c r="EH149" s="5"/>
      <c r="EI149" s="5"/>
    </row>
    <row r="150" spans="30:139" x14ac:dyDescent="0.2">
      <c r="AD150" s="5"/>
      <c r="AE150" s="5"/>
      <c r="AF150" s="5"/>
      <c r="AG150" s="5"/>
      <c r="ED150" s="5"/>
      <c r="EE150" s="5"/>
      <c r="EF150" s="5"/>
      <c r="EG150" s="5"/>
      <c r="EH150" s="5"/>
      <c r="EI150" s="5"/>
    </row>
    <row r="151" spans="30:139" x14ac:dyDescent="0.2">
      <c r="AD151" s="5"/>
      <c r="AE151" s="5"/>
      <c r="AF151" s="5"/>
      <c r="AG151" s="5"/>
      <c r="ED151" s="5"/>
      <c r="EE151" s="5"/>
      <c r="EF151" s="5"/>
      <c r="EG151" s="5"/>
      <c r="EH151" s="5"/>
      <c r="EI151" s="5"/>
    </row>
    <row r="152" spans="30:139" x14ac:dyDescent="0.2">
      <c r="AD152" s="5"/>
      <c r="AE152" s="5"/>
      <c r="AF152" s="5"/>
      <c r="AG152" s="5"/>
      <c r="ED152" s="5"/>
      <c r="EE152" s="5"/>
      <c r="EF152" s="5"/>
      <c r="EG152" s="5"/>
      <c r="EH152" s="5"/>
      <c r="EI152" s="5"/>
    </row>
    <row r="153" spans="30:139" x14ac:dyDescent="0.2">
      <c r="AD153" s="5"/>
      <c r="AE153" s="5"/>
      <c r="AF153" s="5"/>
      <c r="AG153" s="5"/>
      <c r="ED153" s="5"/>
      <c r="EE153" s="5"/>
      <c r="EF153" s="5"/>
      <c r="EG153" s="5"/>
      <c r="EH153" s="5"/>
      <c r="EI153" s="5"/>
    </row>
    <row r="154" spans="30:139" x14ac:dyDescent="0.2">
      <c r="AD154" s="5"/>
      <c r="AE154" s="5"/>
      <c r="AF154" s="5"/>
      <c r="AG154" s="5"/>
      <c r="ED154" s="5"/>
      <c r="EE154" s="5"/>
      <c r="EF154" s="5"/>
      <c r="EG154" s="5"/>
      <c r="EH154" s="5"/>
      <c r="EI154" s="5"/>
    </row>
    <row r="155" spans="30:139" x14ac:dyDescent="0.2">
      <c r="AD155" s="5"/>
      <c r="AE155" s="5"/>
      <c r="AF155" s="5"/>
      <c r="AG155" s="5"/>
      <c r="ED155" s="5"/>
      <c r="EE155" s="5"/>
      <c r="EF155" s="5"/>
      <c r="EG155" s="5"/>
      <c r="EH155" s="5"/>
      <c r="EI155" s="5"/>
    </row>
    <row r="156" spans="30:139" x14ac:dyDescent="0.2">
      <c r="AD156" s="5"/>
      <c r="AE156" s="5"/>
      <c r="AF156" s="5"/>
      <c r="AG156" s="5"/>
      <c r="ED156" s="5"/>
      <c r="EE156" s="5"/>
      <c r="EF156" s="5"/>
      <c r="EG156" s="5"/>
      <c r="EH156" s="5"/>
      <c r="EI156" s="5"/>
    </row>
    <row r="157" spans="30:139" x14ac:dyDescent="0.2">
      <c r="AD157" s="5"/>
      <c r="AE157" s="5"/>
      <c r="AF157" s="5"/>
      <c r="AG157" s="5"/>
      <c r="ED157" s="5"/>
      <c r="EE157" s="5"/>
      <c r="EF157" s="5"/>
      <c r="EG157" s="5"/>
      <c r="EH157" s="5"/>
      <c r="EI157" s="5"/>
    </row>
    <row r="158" spans="30:139" x14ac:dyDescent="0.2">
      <c r="AD158" s="5"/>
      <c r="AE158" s="5"/>
      <c r="AF158" s="5"/>
      <c r="AG158" s="5"/>
      <c r="ED158" s="5"/>
      <c r="EE158" s="5"/>
      <c r="EF158" s="5"/>
      <c r="EG158" s="5"/>
      <c r="EH158" s="5"/>
      <c r="EI158" s="5"/>
    </row>
    <row r="159" spans="30:139" x14ac:dyDescent="0.2">
      <c r="AD159" s="5"/>
      <c r="AE159" s="5"/>
      <c r="AF159" s="5"/>
      <c r="AG159" s="5"/>
      <c r="ED159" s="5"/>
      <c r="EE159" s="5"/>
      <c r="EF159" s="5"/>
      <c r="EG159" s="5"/>
      <c r="EH159" s="5"/>
      <c r="EI159" s="5"/>
    </row>
    <row r="160" spans="30:139" x14ac:dyDescent="0.2">
      <c r="AD160" s="5"/>
      <c r="AE160" s="5"/>
      <c r="AF160" s="5"/>
      <c r="AG160" s="5"/>
      <c r="ED160" s="5"/>
      <c r="EE160" s="5"/>
      <c r="EF160" s="5"/>
      <c r="EG160" s="5"/>
      <c r="EH160" s="5"/>
      <c r="EI160" s="5"/>
    </row>
    <row r="161" spans="30:139" x14ac:dyDescent="0.2">
      <c r="AD161" s="5"/>
      <c r="AE161" s="5"/>
      <c r="AF161" s="5"/>
      <c r="AG161" s="5"/>
      <c r="ED161" s="5"/>
      <c r="EE161" s="5"/>
      <c r="EF161" s="5"/>
      <c r="EG161" s="5"/>
      <c r="EH161" s="5"/>
      <c r="EI161" s="5"/>
    </row>
    <row r="162" spans="30:139" x14ac:dyDescent="0.2">
      <c r="AD162" s="5"/>
      <c r="AE162" s="5"/>
      <c r="AF162" s="5"/>
      <c r="AG162" s="5"/>
      <c r="ED162" s="5"/>
      <c r="EE162" s="5"/>
      <c r="EF162" s="5"/>
      <c r="EG162" s="5"/>
      <c r="EH162" s="5"/>
      <c r="EI162" s="5"/>
    </row>
    <row r="163" spans="30:139" x14ac:dyDescent="0.2">
      <c r="AD163" s="5"/>
      <c r="AE163" s="5"/>
      <c r="AF163" s="5"/>
      <c r="AG163" s="5"/>
      <c r="ED163" s="5"/>
      <c r="EE163" s="5"/>
      <c r="EF163" s="5"/>
      <c r="EG163" s="5"/>
      <c r="EH163" s="5"/>
      <c r="EI163" s="5"/>
    </row>
    <row r="164" spans="30:139" x14ac:dyDescent="0.2">
      <c r="AD164" s="5"/>
      <c r="AE164" s="5"/>
      <c r="AF164" s="5"/>
      <c r="AG164" s="5"/>
      <c r="ED164" s="5"/>
      <c r="EE164" s="5"/>
      <c r="EF164" s="5"/>
      <c r="EG164" s="5"/>
      <c r="EH164" s="5"/>
      <c r="EI164" s="5"/>
    </row>
    <row r="165" spans="30:139" x14ac:dyDescent="0.2">
      <c r="AD165" s="5"/>
      <c r="AE165" s="5"/>
      <c r="AF165" s="5"/>
      <c r="AG165" s="5"/>
      <c r="ED165" s="5"/>
      <c r="EE165" s="5"/>
      <c r="EF165" s="5"/>
      <c r="EG165" s="5"/>
      <c r="EH165" s="5"/>
      <c r="EI165" s="5"/>
    </row>
    <row r="166" spans="30:139" x14ac:dyDescent="0.2">
      <c r="AD166" s="5"/>
      <c r="AE166" s="5"/>
      <c r="AF166" s="5"/>
      <c r="AG166" s="5"/>
      <c r="ED166" s="5"/>
      <c r="EE166" s="5"/>
      <c r="EF166" s="5"/>
      <c r="EG166" s="5"/>
      <c r="EH166" s="5"/>
      <c r="EI166" s="5"/>
    </row>
    <row r="167" spans="30:139" x14ac:dyDescent="0.2">
      <c r="AD167" s="5"/>
      <c r="AE167" s="5"/>
      <c r="AF167" s="5"/>
      <c r="AG167" s="5"/>
      <c r="ED167" s="5"/>
      <c r="EE167" s="5"/>
      <c r="EF167" s="5"/>
      <c r="EG167" s="5"/>
      <c r="EH167" s="5"/>
      <c r="EI167" s="5"/>
    </row>
    <row r="168" spans="30:139" x14ac:dyDescent="0.2">
      <c r="AD168" s="5"/>
      <c r="AE168" s="5"/>
      <c r="AF168" s="5"/>
      <c r="AG168" s="5"/>
      <c r="ED168" s="5"/>
      <c r="EE168" s="5"/>
      <c r="EF168" s="5"/>
      <c r="EG168" s="5"/>
      <c r="EH168" s="5"/>
      <c r="EI168" s="5"/>
    </row>
    <row r="169" spans="30:139" x14ac:dyDescent="0.2">
      <c r="AD169" s="5"/>
      <c r="AE169" s="5"/>
      <c r="AF169" s="5"/>
      <c r="AG169" s="5"/>
      <c r="ED169" s="5"/>
      <c r="EE169" s="5"/>
      <c r="EF169" s="5"/>
      <c r="EG169" s="5"/>
      <c r="EH169" s="5"/>
      <c r="EI169" s="5"/>
    </row>
    <row r="170" spans="30:139" x14ac:dyDescent="0.2">
      <c r="AD170" s="5"/>
      <c r="AE170" s="5"/>
      <c r="AF170" s="5"/>
      <c r="AG170" s="5"/>
      <c r="ED170" s="5"/>
      <c r="EE170" s="5"/>
      <c r="EF170" s="5"/>
      <c r="EG170" s="5"/>
      <c r="EH170" s="5"/>
      <c r="EI170" s="5"/>
    </row>
    <row r="171" spans="30:139" x14ac:dyDescent="0.2">
      <c r="AD171" s="5"/>
      <c r="AE171" s="5"/>
      <c r="AF171" s="5"/>
      <c r="AG171" s="5"/>
      <c r="ED171" s="5"/>
      <c r="EE171" s="5"/>
      <c r="EF171" s="5"/>
      <c r="EG171" s="5"/>
      <c r="EH171" s="5"/>
      <c r="EI171" s="5"/>
    </row>
    <row r="172" spans="30:139" x14ac:dyDescent="0.2">
      <c r="AD172" s="5"/>
      <c r="AE172" s="5"/>
      <c r="AF172" s="5"/>
      <c r="AG172" s="5"/>
      <c r="ED172" s="5"/>
      <c r="EE172" s="5"/>
      <c r="EF172" s="5"/>
      <c r="EG172" s="5"/>
      <c r="EH172" s="5"/>
      <c r="EI172" s="5"/>
    </row>
    <row r="173" spans="30:139" x14ac:dyDescent="0.2">
      <c r="AD173" s="5"/>
      <c r="AE173" s="5"/>
      <c r="AF173" s="5"/>
      <c r="AG173" s="5"/>
      <c r="ED173" s="5"/>
      <c r="EE173" s="5"/>
      <c r="EF173" s="5"/>
      <c r="EG173" s="5"/>
      <c r="EH173" s="5"/>
      <c r="EI173" s="5"/>
    </row>
    <row r="174" spans="30:139" x14ac:dyDescent="0.2">
      <c r="AD174" s="5"/>
      <c r="AE174" s="5"/>
      <c r="AF174" s="5"/>
      <c r="AG174" s="5"/>
      <c r="ED174" s="5"/>
      <c r="EE174" s="5"/>
      <c r="EF174" s="5"/>
      <c r="EG174" s="5"/>
      <c r="EH174" s="5"/>
      <c r="EI174" s="5"/>
    </row>
    <row r="175" spans="30:139" x14ac:dyDescent="0.2">
      <c r="AD175" s="5"/>
      <c r="AE175" s="5"/>
      <c r="AF175" s="5"/>
      <c r="AG175" s="5"/>
      <c r="ED175" s="5"/>
      <c r="EE175" s="5"/>
      <c r="EF175" s="5"/>
      <c r="EG175" s="5"/>
      <c r="EH175" s="5"/>
      <c r="EI175" s="5"/>
    </row>
    <row r="176" spans="30:139" x14ac:dyDescent="0.2">
      <c r="AD176" s="5"/>
      <c r="AE176" s="5"/>
      <c r="AF176" s="5"/>
      <c r="AG176" s="5"/>
      <c r="ED176" s="5"/>
      <c r="EE176" s="5"/>
      <c r="EF176" s="5"/>
      <c r="EG176" s="5"/>
      <c r="EH176" s="5"/>
      <c r="EI176" s="5"/>
    </row>
    <row r="177" spans="30:139" x14ac:dyDescent="0.2">
      <c r="AD177" s="5"/>
      <c r="AE177" s="5"/>
      <c r="AF177" s="5"/>
      <c r="AG177" s="5"/>
      <c r="ED177" s="5"/>
      <c r="EE177" s="5"/>
      <c r="EF177" s="5"/>
      <c r="EG177" s="5"/>
      <c r="EH177" s="5"/>
      <c r="EI177" s="5"/>
    </row>
    <row r="178" spans="30:139" x14ac:dyDescent="0.2">
      <c r="AD178" s="5"/>
      <c r="AE178" s="5"/>
      <c r="AF178" s="5"/>
      <c r="AG178" s="5"/>
      <c r="ED178" s="5"/>
      <c r="EE178" s="5"/>
      <c r="EF178" s="5"/>
      <c r="EG178" s="5"/>
      <c r="EH178" s="5"/>
      <c r="EI178" s="5"/>
    </row>
    <row r="179" spans="30:139" x14ac:dyDescent="0.2">
      <c r="AD179" s="5"/>
      <c r="AE179" s="5"/>
      <c r="AF179" s="5"/>
      <c r="AG179" s="5"/>
      <c r="ED179" s="5"/>
      <c r="EE179" s="5"/>
      <c r="EF179" s="5"/>
      <c r="EG179" s="5"/>
      <c r="EH179" s="5"/>
      <c r="EI179" s="5"/>
    </row>
    <row r="180" spans="30:139" x14ac:dyDescent="0.2">
      <c r="AD180" s="5"/>
      <c r="AE180" s="5"/>
      <c r="AF180" s="5"/>
      <c r="AG180" s="5"/>
      <c r="ED180" s="5"/>
      <c r="EE180" s="5"/>
      <c r="EF180" s="5"/>
      <c r="EG180" s="5"/>
      <c r="EH180" s="5"/>
      <c r="EI180" s="5"/>
    </row>
    <row r="181" spans="30:139" x14ac:dyDescent="0.2">
      <c r="AD181" s="5"/>
      <c r="AE181" s="5"/>
      <c r="AF181" s="5"/>
      <c r="AG181" s="5"/>
      <c r="ED181" s="5"/>
      <c r="EE181" s="5"/>
      <c r="EF181" s="5"/>
      <c r="EG181" s="5"/>
      <c r="EH181" s="5"/>
      <c r="EI181" s="5"/>
    </row>
    <row r="182" spans="30:139" x14ac:dyDescent="0.2">
      <c r="AD182" s="5"/>
      <c r="AE182" s="5"/>
      <c r="AF182" s="5"/>
      <c r="AG182" s="5"/>
      <c r="ED182" s="5"/>
      <c r="EE182" s="5"/>
      <c r="EF182" s="5"/>
      <c r="EG182" s="5"/>
      <c r="EH182" s="5"/>
      <c r="EI182" s="5"/>
    </row>
    <row r="183" spans="30:139" x14ac:dyDescent="0.2">
      <c r="AD183" s="5"/>
      <c r="AE183" s="5"/>
      <c r="AF183" s="5"/>
      <c r="AG183" s="5"/>
      <c r="ED183" s="5"/>
      <c r="EE183" s="5"/>
      <c r="EF183" s="5"/>
      <c r="EG183" s="5"/>
      <c r="EH183" s="5"/>
      <c r="EI183" s="5"/>
    </row>
    <row r="184" spans="30:139" x14ac:dyDescent="0.2">
      <c r="AD184" s="5"/>
      <c r="AE184" s="5"/>
      <c r="AF184" s="5"/>
      <c r="AG184" s="5"/>
      <c r="ED184" s="5"/>
      <c r="EE184" s="5"/>
      <c r="EF184" s="5"/>
      <c r="EG184" s="5"/>
      <c r="EH184" s="5"/>
      <c r="EI184" s="5"/>
    </row>
    <row r="185" spans="30:139" x14ac:dyDescent="0.2">
      <c r="AD185" s="5"/>
      <c r="AE185" s="5"/>
      <c r="AF185" s="5"/>
      <c r="AG185" s="5"/>
      <c r="ED185" s="5"/>
      <c r="EE185" s="5"/>
      <c r="EF185" s="5"/>
      <c r="EG185" s="5"/>
      <c r="EH185" s="5"/>
      <c r="EI185" s="5"/>
    </row>
    <row r="186" spans="30:139" x14ac:dyDescent="0.2">
      <c r="AD186" s="5"/>
      <c r="AE186" s="5"/>
      <c r="AF186" s="5"/>
      <c r="AG186" s="5"/>
      <c r="ED186" s="5"/>
      <c r="EE186" s="5"/>
      <c r="EF186" s="5"/>
      <c r="EG186" s="5"/>
      <c r="EH186" s="5"/>
      <c r="EI186" s="5"/>
    </row>
    <row r="187" spans="30:139" x14ac:dyDescent="0.2">
      <c r="AD187" s="5"/>
      <c r="AE187" s="5"/>
      <c r="AF187" s="5"/>
      <c r="AG187" s="5"/>
      <c r="ED187" s="5"/>
      <c r="EE187" s="5"/>
      <c r="EF187" s="5"/>
      <c r="EG187" s="5"/>
      <c r="EH187" s="5"/>
      <c r="EI187" s="5"/>
    </row>
    <row r="188" spans="30:139" x14ac:dyDescent="0.2">
      <c r="AD188" s="5"/>
      <c r="AE188" s="5"/>
      <c r="AF188" s="5"/>
      <c r="AG188" s="5"/>
      <c r="ED188" s="5"/>
      <c r="EE188" s="5"/>
      <c r="EF188" s="5"/>
      <c r="EG188" s="5"/>
      <c r="EH188" s="5"/>
      <c r="EI188" s="5"/>
    </row>
    <row r="189" spans="30:139" x14ac:dyDescent="0.2">
      <c r="AD189" s="5"/>
      <c r="AE189" s="5"/>
      <c r="AF189" s="5"/>
      <c r="AG189" s="5"/>
      <c r="ED189" s="5"/>
      <c r="EE189" s="5"/>
      <c r="EF189" s="5"/>
      <c r="EG189" s="5"/>
      <c r="EH189" s="5"/>
      <c r="EI189" s="5"/>
    </row>
    <row r="190" spans="30:139" x14ac:dyDescent="0.2">
      <c r="AD190" s="5"/>
      <c r="AE190" s="5"/>
      <c r="AF190" s="5"/>
      <c r="AG190" s="5"/>
      <c r="ED190" s="5"/>
      <c r="EE190" s="5"/>
      <c r="EF190" s="5"/>
      <c r="EG190" s="5"/>
      <c r="EH190" s="5"/>
      <c r="EI190" s="5"/>
    </row>
    <row r="191" spans="30:139" x14ac:dyDescent="0.2">
      <c r="AD191" s="5"/>
      <c r="AE191" s="5"/>
      <c r="AF191" s="5"/>
      <c r="AG191" s="5"/>
      <c r="ED191" s="5"/>
      <c r="EE191" s="5"/>
      <c r="EF191" s="5"/>
      <c r="EG191" s="5"/>
      <c r="EH191" s="5"/>
      <c r="EI191" s="5"/>
    </row>
    <row r="192" spans="30:139" x14ac:dyDescent="0.2">
      <c r="AD192" s="5"/>
      <c r="AE192" s="5"/>
      <c r="AF192" s="5"/>
      <c r="AG192" s="5"/>
      <c r="ED192" s="5"/>
      <c r="EE192" s="5"/>
      <c r="EF192" s="5"/>
      <c r="EG192" s="5"/>
      <c r="EH192" s="5"/>
      <c r="EI192" s="5"/>
    </row>
    <row r="193" spans="30:139" x14ac:dyDescent="0.2">
      <c r="AD193" s="5"/>
      <c r="AE193" s="5"/>
      <c r="AF193" s="5"/>
      <c r="AG193" s="5"/>
      <c r="ED193" s="5"/>
      <c r="EE193" s="5"/>
      <c r="EF193" s="5"/>
      <c r="EG193" s="5"/>
      <c r="EH193" s="5"/>
      <c r="EI193" s="5"/>
    </row>
    <row r="194" spans="30:139" x14ac:dyDescent="0.2">
      <c r="AD194" s="5"/>
      <c r="AE194" s="5"/>
      <c r="AF194" s="5"/>
      <c r="AG194" s="5"/>
      <c r="ED194" s="5"/>
      <c r="EE194" s="5"/>
      <c r="EF194" s="5"/>
      <c r="EG194" s="5"/>
      <c r="EH194" s="5"/>
      <c r="EI194" s="5"/>
    </row>
    <row r="195" spans="30:139" x14ac:dyDescent="0.2">
      <c r="AD195" s="5"/>
      <c r="AE195" s="5"/>
      <c r="AF195" s="5"/>
      <c r="AG195" s="5"/>
      <c r="ED195" s="5"/>
      <c r="EE195" s="5"/>
      <c r="EF195" s="5"/>
      <c r="EG195" s="5"/>
      <c r="EH195" s="5"/>
      <c r="EI195" s="5"/>
    </row>
    <row r="196" spans="30:139" x14ac:dyDescent="0.2">
      <c r="AD196" s="5"/>
      <c r="AE196" s="5"/>
      <c r="AF196" s="5"/>
      <c r="AG196" s="5"/>
      <c r="ED196" s="5"/>
      <c r="EE196" s="5"/>
      <c r="EF196" s="5"/>
      <c r="EG196" s="5"/>
      <c r="EH196" s="5"/>
      <c r="EI196" s="5"/>
    </row>
    <row r="197" spans="30:139" x14ac:dyDescent="0.2">
      <c r="AD197" s="5"/>
      <c r="AE197" s="5"/>
      <c r="AF197" s="5"/>
      <c r="AG197" s="5"/>
      <c r="ED197" s="5"/>
      <c r="EE197" s="5"/>
      <c r="EF197" s="5"/>
      <c r="EG197" s="5"/>
      <c r="EH197" s="5"/>
      <c r="EI197" s="5"/>
    </row>
    <row r="198" spans="30:139" x14ac:dyDescent="0.2">
      <c r="AD198" s="5"/>
      <c r="AE198" s="5"/>
      <c r="AF198" s="5"/>
      <c r="AG198" s="5"/>
      <c r="ED198" s="5"/>
      <c r="EE198" s="5"/>
      <c r="EF198" s="5"/>
      <c r="EG198" s="5"/>
      <c r="EH198" s="5"/>
      <c r="EI198" s="5"/>
    </row>
    <row r="199" spans="30:139" x14ac:dyDescent="0.2">
      <c r="AD199" s="5"/>
      <c r="AE199" s="5"/>
      <c r="AF199" s="5"/>
      <c r="AG199" s="5"/>
      <c r="ED199" s="5"/>
      <c r="EE199" s="5"/>
      <c r="EF199" s="5"/>
      <c r="EG199" s="5"/>
      <c r="EH199" s="5"/>
      <c r="EI199" s="5"/>
    </row>
    <row r="200" spans="30:139" x14ac:dyDescent="0.2">
      <c r="AD200" s="5"/>
      <c r="AE200" s="5"/>
      <c r="AF200" s="5"/>
      <c r="AG200" s="5"/>
      <c r="ED200" s="5"/>
      <c r="EE200" s="5"/>
      <c r="EF200" s="5"/>
      <c r="EG200" s="5"/>
      <c r="EH200" s="5"/>
      <c r="EI200" s="5"/>
    </row>
    <row r="201" spans="30:139" x14ac:dyDescent="0.2">
      <c r="AD201" s="5"/>
      <c r="AE201" s="5"/>
      <c r="AF201" s="5"/>
      <c r="AG201" s="5"/>
      <c r="ED201" s="5"/>
      <c r="EE201" s="5"/>
      <c r="EF201" s="5"/>
      <c r="EG201" s="5"/>
      <c r="EH201" s="5"/>
      <c r="EI201" s="5"/>
    </row>
    <row r="202" spans="30:139" x14ac:dyDescent="0.2">
      <c r="AD202" s="5"/>
      <c r="AE202" s="5"/>
      <c r="AF202" s="5"/>
      <c r="AG202" s="5"/>
      <c r="ED202" s="5"/>
      <c r="EE202" s="5"/>
      <c r="EF202" s="5"/>
      <c r="EG202" s="5"/>
      <c r="EH202" s="5"/>
      <c r="EI202" s="5"/>
    </row>
    <row r="203" spans="30:139" x14ac:dyDescent="0.2">
      <c r="AD203" s="5"/>
      <c r="AE203" s="5"/>
      <c r="AF203" s="5"/>
      <c r="AG203" s="5"/>
      <c r="ED203" s="5"/>
      <c r="EE203" s="5"/>
      <c r="EF203" s="5"/>
      <c r="EG203" s="5"/>
      <c r="EH203" s="5"/>
      <c r="EI203" s="5"/>
    </row>
    <row r="204" spans="30:139" x14ac:dyDescent="0.2">
      <c r="AD204" s="5"/>
      <c r="AE204" s="5"/>
      <c r="AF204" s="5"/>
      <c r="AG204" s="5"/>
      <c r="ED204" s="5"/>
      <c r="EE204" s="5"/>
      <c r="EF204" s="5"/>
      <c r="EG204" s="5"/>
      <c r="EH204" s="5"/>
      <c r="EI204" s="5"/>
    </row>
    <row r="205" spans="30:139" x14ac:dyDescent="0.2">
      <c r="AD205" s="5"/>
      <c r="AE205" s="5"/>
      <c r="AF205" s="5"/>
      <c r="AG205" s="5"/>
      <c r="ED205" s="5"/>
      <c r="EE205" s="5"/>
      <c r="EF205" s="5"/>
      <c r="EG205" s="5"/>
      <c r="EH205" s="5"/>
      <c r="EI205" s="5"/>
    </row>
    <row r="206" spans="30:139" x14ac:dyDescent="0.2">
      <c r="AD206" s="5"/>
      <c r="AE206" s="5"/>
      <c r="AF206" s="5"/>
      <c r="AG206" s="5"/>
      <c r="ED206" s="5"/>
      <c r="EE206" s="5"/>
      <c r="EF206" s="5"/>
      <c r="EG206" s="5"/>
      <c r="EH206" s="5"/>
      <c r="EI206" s="5"/>
    </row>
    <row r="207" spans="30:139" x14ac:dyDescent="0.2">
      <c r="AD207" s="5"/>
      <c r="AE207" s="5"/>
      <c r="AF207" s="5"/>
      <c r="AG207" s="5"/>
      <c r="ED207" s="5"/>
      <c r="EE207" s="5"/>
      <c r="EF207" s="5"/>
      <c r="EG207" s="5"/>
      <c r="EH207" s="5"/>
      <c r="EI207" s="5"/>
    </row>
    <row r="208" spans="30:139" x14ac:dyDescent="0.2">
      <c r="AD208" s="5"/>
      <c r="AE208" s="5"/>
      <c r="AF208" s="5"/>
      <c r="AG208" s="5"/>
      <c r="ED208" s="5"/>
      <c r="EE208" s="5"/>
      <c r="EF208" s="5"/>
      <c r="EG208" s="5"/>
      <c r="EH208" s="5"/>
      <c r="EI208" s="5"/>
    </row>
    <row r="209" spans="30:139" x14ac:dyDescent="0.2">
      <c r="AD209" s="5"/>
      <c r="AE209" s="5"/>
      <c r="AF209" s="5"/>
      <c r="AG209" s="5"/>
      <c r="ED209" s="5"/>
      <c r="EE209" s="5"/>
      <c r="EF209" s="5"/>
      <c r="EG209" s="5"/>
      <c r="EH209" s="5"/>
      <c r="EI209" s="5"/>
    </row>
    <row r="210" spans="30:139" x14ac:dyDescent="0.2">
      <c r="AD210" s="5"/>
      <c r="AE210" s="5"/>
      <c r="AF210" s="5"/>
      <c r="AG210" s="5"/>
      <c r="ED210" s="5"/>
      <c r="EE210" s="5"/>
      <c r="EF210" s="5"/>
      <c r="EG210" s="5"/>
      <c r="EH210" s="5"/>
      <c r="EI210" s="5"/>
    </row>
    <row r="211" spans="30:139" x14ac:dyDescent="0.2">
      <c r="AD211" s="5"/>
      <c r="AE211" s="5"/>
      <c r="AF211" s="5"/>
      <c r="AG211" s="5"/>
      <c r="ED211" s="5"/>
      <c r="EE211" s="5"/>
      <c r="EF211" s="5"/>
      <c r="EG211" s="5"/>
      <c r="EH211" s="5"/>
      <c r="EI211" s="5"/>
    </row>
    <row r="212" spans="30:139" x14ac:dyDescent="0.2">
      <c r="AD212" s="5"/>
      <c r="AE212" s="5"/>
      <c r="AF212" s="5"/>
      <c r="AG212" s="5"/>
      <c r="ED212" s="5"/>
      <c r="EE212" s="5"/>
      <c r="EF212" s="5"/>
      <c r="EG212" s="5"/>
      <c r="EH212" s="5"/>
      <c r="EI212" s="5"/>
    </row>
    <row r="213" spans="30:139" x14ac:dyDescent="0.2">
      <c r="AD213" s="5"/>
      <c r="AE213" s="5"/>
      <c r="AF213" s="5"/>
      <c r="AG213" s="5"/>
      <c r="ED213" s="5"/>
      <c r="EE213" s="5"/>
      <c r="EF213" s="5"/>
      <c r="EG213" s="5"/>
      <c r="EH213" s="5"/>
      <c r="EI213" s="5"/>
    </row>
    <row r="214" spans="30:139" x14ac:dyDescent="0.2">
      <c r="AD214" s="5"/>
      <c r="AE214" s="5"/>
      <c r="AF214" s="5"/>
      <c r="AG214" s="5"/>
      <c r="ED214" s="5"/>
      <c r="EE214" s="5"/>
      <c r="EF214" s="5"/>
      <c r="EG214" s="5"/>
      <c r="EH214" s="5"/>
      <c r="EI214" s="5"/>
    </row>
    <row r="215" spans="30:139" x14ac:dyDescent="0.2">
      <c r="AD215" s="5"/>
      <c r="AE215" s="5"/>
      <c r="AF215" s="5"/>
      <c r="AG215" s="5"/>
      <c r="ED215" s="5"/>
      <c r="EE215" s="5"/>
      <c r="EF215" s="5"/>
      <c r="EG215" s="5"/>
      <c r="EH215" s="5"/>
      <c r="EI215" s="5"/>
    </row>
    <row r="216" spans="30:139" x14ac:dyDescent="0.2">
      <c r="AD216" s="5"/>
      <c r="AE216" s="5"/>
      <c r="AF216" s="5"/>
      <c r="AG216" s="5"/>
      <c r="ED216" s="5"/>
      <c r="EE216" s="5"/>
      <c r="EF216" s="5"/>
      <c r="EG216" s="5"/>
      <c r="EH216" s="5"/>
      <c r="EI216" s="5"/>
    </row>
    <row r="217" spans="30:139" x14ac:dyDescent="0.2">
      <c r="AD217" s="5"/>
      <c r="AE217" s="5"/>
      <c r="AF217" s="5"/>
      <c r="AG217" s="5"/>
      <c r="ED217" s="5"/>
      <c r="EE217" s="5"/>
      <c r="EF217" s="5"/>
      <c r="EG217" s="5"/>
      <c r="EH217" s="5"/>
      <c r="EI217" s="5"/>
    </row>
    <row r="218" spans="30:139" x14ac:dyDescent="0.2">
      <c r="AD218" s="5"/>
      <c r="AE218" s="5"/>
      <c r="AF218" s="5"/>
      <c r="AG218" s="5"/>
      <c r="ED218" s="5"/>
      <c r="EE218" s="5"/>
      <c r="EF218" s="5"/>
      <c r="EG218" s="5"/>
      <c r="EH218" s="5"/>
      <c r="EI218" s="5"/>
    </row>
    <row r="219" spans="30:139" x14ac:dyDescent="0.2">
      <c r="AD219" s="5"/>
      <c r="AE219" s="5"/>
      <c r="AF219" s="5"/>
      <c r="AG219" s="5"/>
      <c r="ED219" s="5"/>
      <c r="EE219" s="5"/>
      <c r="EF219" s="5"/>
      <c r="EG219" s="5"/>
      <c r="EH219" s="5"/>
      <c r="EI219" s="5"/>
    </row>
    <row r="220" spans="30:139" x14ac:dyDescent="0.2">
      <c r="AD220" s="5"/>
      <c r="AE220" s="5"/>
      <c r="AF220" s="5"/>
      <c r="AG220" s="5"/>
      <c r="ED220" s="5"/>
      <c r="EE220" s="5"/>
      <c r="EF220" s="5"/>
      <c r="EG220" s="5"/>
      <c r="EH220" s="5"/>
      <c r="EI220" s="5"/>
    </row>
    <row r="221" spans="30:139" x14ac:dyDescent="0.2">
      <c r="AD221" s="5"/>
      <c r="AE221" s="5"/>
      <c r="AF221" s="5"/>
      <c r="AG221" s="5"/>
      <c r="ED221" s="5"/>
      <c r="EE221" s="5"/>
      <c r="EF221" s="5"/>
      <c r="EG221" s="5"/>
      <c r="EH221" s="5"/>
      <c r="EI221" s="5"/>
    </row>
    <row r="222" spans="30:139" x14ac:dyDescent="0.2">
      <c r="AD222" s="5"/>
      <c r="AE222" s="5"/>
      <c r="AF222" s="5"/>
      <c r="AG222" s="5"/>
      <c r="ED222" s="5"/>
      <c r="EE222" s="5"/>
      <c r="EF222" s="5"/>
      <c r="EG222" s="5"/>
      <c r="EH222" s="5"/>
      <c r="EI222" s="5"/>
    </row>
    <row r="223" spans="30:139" x14ac:dyDescent="0.2">
      <c r="AD223" s="5"/>
      <c r="AE223" s="5"/>
      <c r="AF223" s="5"/>
      <c r="AG223" s="5"/>
      <c r="ED223" s="5"/>
      <c r="EE223" s="5"/>
      <c r="EF223" s="5"/>
      <c r="EG223" s="5"/>
      <c r="EH223" s="5"/>
      <c r="EI223" s="5"/>
    </row>
    <row r="224" spans="30:139" x14ac:dyDescent="0.2">
      <c r="AD224" s="5"/>
      <c r="AE224" s="5"/>
      <c r="AF224" s="5"/>
      <c r="AG224" s="5"/>
      <c r="ED224" s="5"/>
      <c r="EE224" s="5"/>
      <c r="EF224" s="5"/>
      <c r="EG224" s="5"/>
      <c r="EH224" s="5"/>
      <c r="EI224" s="5"/>
    </row>
    <row r="225" spans="30:139" x14ac:dyDescent="0.2">
      <c r="AD225" s="5"/>
      <c r="AE225" s="5"/>
      <c r="AF225" s="5"/>
      <c r="AG225" s="5"/>
      <c r="ED225" s="5"/>
      <c r="EE225" s="5"/>
      <c r="EF225" s="5"/>
      <c r="EG225" s="5"/>
      <c r="EH225" s="5"/>
      <c r="EI225" s="5"/>
    </row>
    <row r="226" spans="30:139" x14ac:dyDescent="0.2">
      <c r="AD226" s="5"/>
      <c r="AE226" s="5"/>
      <c r="AF226" s="5"/>
      <c r="AG226" s="5"/>
      <c r="ED226" s="5"/>
      <c r="EE226" s="5"/>
      <c r="EF226" s="5"/>
      <c r="EG226" s="5"/>
      <c r="EH226" s="5"/>
      <c r="EI226" s="5"/>
    </row>
    <row r="227" spans="30:139" x14ac:dyDescent="0.2">
      <c r="AD227" s="5"/>
      <c r="AE227" s="5"/>
      <c r="AF227" s="5"/>
      <c r="AG227" s="5"/>
      <c r="ED227" s="5"/>
      <c r="EE227" s="5"/>
      <c r="EF227" s="5"/>
      <c r="EG227" s="5"/>
      <c r="EH227" s="5"/>
      <c r="EI227" s="5"/>
    </row>
    <row r="228" spans="30:139" x14ac:dyDescent="0.2">
      <c r="AD228" s="5"/>
      <c r="AE228" s="5"/>
      <c r="AF228" s="5"/>
      <c r="AG228" s="5"/>
      <c r="ED228" s="5"/>
      <c r="EE228" s="5"/>
      <c r="EF228" s="5"/>
      <c r="EG228" s="5"/>
      <c r="EH228" s="5"/>
      <c r="EI228" s="5"/>
    </row>
    <row r="229" spans="30:139" x14ac:dyDescent="0.2">
      <c r="AD229" s="5"/>
      <c r="AE229" s="5"/>
      <c r="AF229" s="5"/>
      <c r="AG229" s="5"/>
      <c r="ED229" s="5"/>
      <c r="EE229" s="5"/>
      <c r="EF229" s="5"/>
      <c r="EG229" s="5"/>
      <c r="EH229" s="5"/>
      <c r="EI229" s="5"/>
    </row>
    <row r="230" spans="30:139" x14ac:dyDescent="0.2">
      <c r="AD230" s="5"/>
      <c r="AE230" s="5"/>
      <c r="AF230" s="5"/>
      <c r="AG230" s="5"/>
      <c r="ED230" s="5"/>
      <c r="EE230" s="5"/>
      <c r="EF230" s="5"/>
      <c r="EG230" s="5"/>
      <c r="EH230" s="5"/>
      <c r="EI230" s="5"/>
    </row>
    <row r="231" spans="30:139" x14ac:dyDescent="0.2">
      <c r="AD231" s="5"/>
      <c r="AE231" s="5"/>
      <c r="AF231" s="5"/>
      <c r="AG231" s="5"/>
      <c r="ED231" s="5"/>
      <c r="EE231" s="5"/>
      <c r="EF231" s="5"/>
      <c r="EG231" s="5"/>
      <c r="EH231" s="5"/>
      <c r="EI231" s="5"/>
    </row>
    <row r="232" spans="30:139" x14ac:dyDescent="0.2">
      <c r="AD232" s="5"/>
      <c r="AE232" s="5"/>
      <c r="AF232" s="5"/>
      <c r="AG232" s="5"/>
      <c r="ED232" s="5"/>
      <c r="EE232" s="5"/>
      <c r="EF232" s="5"/>
      <c r="EG232" s="5"/>
      <c r="EH232" s="5"/>
      <c r="EI232" s="5"/>
    </row>
    <row r="233" spans="30:139" x14ac:dyDescent="0.2">
      <c r="AD233" s="5"/>
      <c r="AE233" s="5"/>
      <c r="AF233" s="5"/>
      <c r="AG233" s="5"/>
      <c r="ED233" s="5"/>
      <c r="EE233" s="5"/>
      <c r="EF233" s="5"/>
      <c r="EG233" s="5"/>
      <c r="EH233" s="5"/>
      <c r="EI233" s="5"/>
    </row>
    <row r="234" spans="30:139" x14ac:dyDescent="0.2">
      <c r="AD234" s="5"/>
      <c r="AE234" s="5"/>
      <c r="AF234" s="5"/>
      <c r="AG234" s="5"/>
      <c r="ED234" s="5"/>
      <c r="EE234" s="5"/>
      <c r="EF234" s="5"/>
      <c r="EG234" s="5"/>
      <c r="EH234" s="5"/>
      <c r="EI234" s="5"/>
    </row>
    <row r="235" spans="30:139" x14ac:dyDescent="0.2">
      <c r="AD235" s="5"/>
      <c r="AE235" s="5"/>
      <c r="AF235" s="5"/>
      <c r="AG235" s="5"/>
      <c r="ED235" s="5"/>
      <c r="EE235" s="5"/>
      <c r="EF235" s="5"/>
      <c r="EG235" s="5"/>
      <c r="EH235" s="5"/>
      <c r="EI235" s="5"/>
    </row>
    <row r="236" spans="30:139" x14ac:dyDescent="0.2">
      <c r="AD236" s="5"/>
      <c r="AE236" s="5"/>
      <c r="AF236" s="5"/>
      <c r="AG236" s="5"/>
      <c r="ED236" s="5"/>
      <c r="EE236" s="5"/>
      <c r="EF236" s="5"/>
      <c r="EG236" s="5"/>
      <c r="EH236" s="5"/>
      <c r="EI236" s="5"/>
    </row>
    <row r="237" spans="30:139" x14ac:dyDescent="0.2">
      <c r="AD237" s="5"/>
      <c r="AE237" s="5"/>
      <c r="AF237" s="5"/>
      <c r="AG237" s="5"/>
      <c r="ED237" s="5"/>
      <c r="EE237" s="5"/>
      <c r="EF237" s="5"/>
      <c r="EG237" s="5"/>
      <c r="EH237" s="5"/>
      <c r="EI237" s="5"/>
    </row>
    <row r="238" spans="30:139" x14ac:dyDescent="0.2">
      <c r="AD238" s="5"/>
      <c r="AE238" s="5"/>
      <c r="AF238" s="5"/>
      <c r="AG238" s="5"/>
      <c r="ED238" s="5"/>
      <c r="EE238" s="5"/>
      <c r="EF238" s="5"/>
      <c r="EG238" s="5"/>
      <c r="EH238" s="5"/>
      <c r="EI238" s="5"/>
    </row>
    <row r="239" spans="30:139" x14ac:dyDescent="0.2">
      <c r="AD239" s="5"/>
      <c r="AE239" s="5"/>
      <c r="AF239" s="5"/>
      <c r="AG239" s="5"/>
      <c r="ED239" s="5"/>
      <c r="EE239" s="5"/>
      <c r="EF239" s="5"/>
      <c r="EG239" s="5"/>
      <c r="EH239" s="5"/>
      <c r="EI239" s="5"/>
    </row>
    <row r="240" spans="30:139" x14ac:dyDescent="0.2">
      <c r="AD240" s="5"/>
      <c r="AE240" s="5"/>
      <c r="AF240" s="5"/>
      <c r="AG240" s="5"/>
      <c r="ED240" s="5"/>
      <c r="EE240" s="5"/>
      <c r="EF240" s="5"/>
      <c r="EG240" s="5"/>
      <c r="EH240" s="5"/>
      <c r="EI240" s="5"/>
    </row>
    <row r="241" spans="30:139" x14ac:dyDescent="0.2">
      <c r="AD241" s="5"/>
      <c r="AE241" s="5"/>
      <c r="AF241" s="5"/>
      <c r="AG241" s="5"/>
      <c r="ED241" s="5"/>
      <c r="EE241" s="5"/>
      <c r="EF241" s="5"/>
      <c r="EG241" s="5"/>
      <c r="EH241" s="5"/>
      <c r="EI241" s="5"/>
    </row>
    <row r="242" spans="30:139" x14ac:dyDescent="0.2">
      <c r="AD242" s="5"/>
      <c r="AE242" s="5"/>
      <c r="AF242" s="5"/>
      <c r="AG242" s="5"/>
      <c r="ED242" s="5"/>
      <c r="EE242" s="5"/>
      <c r="EF242" s="5"/>
      <c r="EG242" s="5"/>
      <c r="EH242" s="5"/>
      <c r="EI242" s="5"/>
    </row>
    <row r="243" spans="30:139" x14ac:dyDescent="0.2">
      <c r="AD243" s="5"/>
      <c r="AE243" s="5"/>
      <c r="AF243" s="5"/>
      <c r="AG243" s="5"/>
      <c r="ED243" s="5"/>
      <c r="EE243" s="5"/>
      <c r="EF243" s="5"/>
      <c r="EG243" s="5"/>
      <c r="EH243" s="5"/>
      <c r="EI243" s="5"/>
    </row>
    <row r="244" spans="30:139" x14ac:dyDescent="0.2">
      <c r="AD244" s="5"/>
      <c r="AE244" s="5"/>
      <c r="AF244" s="5"/>
      <c r="AG244" s="5"/>
      <c r="ED244" s="5"/>
      <c r="EE244" s="5"/>
      <c r="EF244" s="5"/>
      <c r="EG244" s="5"/>
      <c r="EH244" s="5"/>
      <c r="EI244" s="5"/>
    </row>
    <row r="245" spans="30:139" x14ac:dyDescent="0.2">
      <c r="AD245" s="5"/>
      <c r="AE245" s="5"/>
      <c r="AF245" s="5"/>
      <c r="AG245" s="5"/>
      <c r="ED245" s="5"/>
      <c r="EE245" s="5"/>
      <c r="EF245" s="5"/>
      <c r="EG245" s="5"/>
      <c r="EH245" s="5"/>
      <c r="EI245" s="5"/>
    </row>
    <row r="246" spans="30:139" x14ac:dyDescent="0.2">
      <c r="AD246" s="5"/>
      <c r="AE246" s="5"/>
      <c r="AF246" s="5"/>
      <c r="AG246" s="5"/>
      <c r="ED246" s="5"/>
      <c r="EE246" s="5"/>
      <c r="EF246" s="5"/>
      <c r="EG246" s="5"/>
      <c r="EH246" s="5"/>
      <c r="EI246" s="5"/>
    </row>
    <row r="247" spans="30:139" x14ac:dyDescent="0.2">
      <c r="AD247" s="5"/>
      <c r="AE247" s="5"/>
      <c r="AF247" s="5"/>
      <c r="AG247" s="5"/>
      <c r="ED247" s="5"/>
      <c r="EE247" s="5"/>
      <c r="EF247" s="5"/>
      <c r="EG247" s="5"/>
      <c r="EH247" s="5"/>
      <c r="EI247" s="5"/>
    </row>
    <row r="248" spans="30:139" x14ac:dyDescent="0.2">
      <c r="AD248" s="5"/>
      <c r="AE248" s="5"/>
      <c r="AF248" s="5"/>
      <c r="AG248" s="5"/>
      <c r="ED248" s="5"/>
      <c r="EE248" s="5"/>
      <c r="EF248" s="5"/>
      <c r="EG248" s="5"/>
      <c r="EH248" s="5"/>
      <c r="EI248" s="5"/>
    </row>
    <row r="249" spans="30:139" x14ac:dyDescent="0.2">
      <c r="AD249" s="5"/>
      <c r="AE249" s="5"/>
      <c r="AF249" s="5"/>
      <c r="AG249" s="5"/>
      <c r="ED249" s="5"/>
      <c r="EE249" s="5"/>
      <c r="EF249" s="5"/>
      <c r="EG249" s="5"/>
      <c r="EH249" s="5"/>
      <c r="EI249" s="5"/>
    </row>
    <row r="250" spans="30:139" x14ac:dyDescent="0.2">
      <c r="AD250" s="5"/>
      <c r="AE250" s="5"/>
      <c r="AF250" s="5"/>
      <c r="AG250" s="5"/>
      <c r="ED250" s="5"/>
      <c r="EE250" s="5"/>
      <c r="EF250" s="5"/>
      <c r="EG250" s="5"/>
      <c r="EH250" s="5"/>
      <c r="EI250" s="5"/>
    </row>
    <row r="251" spans="30:139" x14ac:dyDescent="0.2">
      <c r="AD251" s="5"/>
      <c r="AE251" s="5"/>
      <c r="AF251" s="5"/>
      <c r="AG251" s="5"/>
      <c r="ED251" s="5"/>
      <c r="EE251" s="5"/>
      <c r="EF251" s="5"/>
      <c r="EG251" s="5"/>
      <c r="EH251" s="5"/>
      <c r="EI251" s="5"/>
    </row>
    <row r="252" spans="30:139" x14ac:dyDescent="0.2">
      <c r="AD252" s="5"/>
      <c r="AE252" s="5"/>
      <c r="AF252" s="5"/>
      <c r="AG252" s="5"/>
      <c r="ED252" s="5"/>
      <c r="EE252" s="5"/>
      <c r="EF252" s="5"/>
      <c r="EG252" s="5"/>
      <c r="EH252" s="5"/>
      <c r="EI252" s="5"/>
    </row>
    <row r="253" spans="30:139" x14ac:dyDescent="0.2">
      <c r="AD253" s="5"/>
      <c r="AE253" s="5"/>
      <c r="AF253" s="5"/>
      <c r="AG253" s="5"/>
      <c r="ED253" s="5"/>
      <c r="EE253" s="5"/>
      <c r="EF253" s="5"/>
      <c r="EG253" s="5"/>
      <c r="EH253" s="5"/>
      <c r="EI253" s="5"/>
    </row>
    <row r="254" spans="30:139" x14ac:dyDescent="0.2">
      <c r="AD254" s="5"/>
      <c r="AE254" s="5"/>
      <c r="AF254" s="5"/>
      <c r="AG254" s="5"/>
      <c r="ED254" s="5"/>
      <c r="EE254" s="5"/>
      <c r="EF254" s="5"/>
      <c r="EG254" s="5"/>
      <c r="EH254" s="5"/>
      <c r="EI254" s="5"/>
    </row>
    <row r="255" spans="30:139" x14ac:dyDescent="0.2">
      <c r="AD255" s="5"/>
      <c r="AE255" s="5"/>
      <c r="AF255" s="5"/>
      <c r="AG255" s="5"/>
      <c r="ED255" s="5"/>
      <c r="EE255" s="5"/>
      <c r="EF255" s="5"/>
      <c r="EG255" s="5"/>
      <c r="EH255" s="5"/>
      <c r="EI255" s="5"/>
    </row>
    <row r="256" spans="30:139" x14ac:dyDescent="0.2">
      <c r="AD256" s="5"/>
      <c r="AE256" s="5"/>
      <c r="AF256" s="5"/>
      <c r="AG256" s="5"/>
      <c r="ED256" s="5"/>
      <c r="EE256" s="5"/>
      <c r="EF256" s="5"/>
      <c r="EG256" s="5"/>
      <c r="EH256" s="5"/>
      <c r="EI256" s="5"/>
    </row>
    <row r="257" spans="30:139" x14ac:dyDescent="0.2">
      <c r="AD257" s="5"/>
      <c r="AE257" s="5"/>
      <c r="AF257" s="5"/>
      <c r="AG257" s="5"/>
      <c r="ED257" s="5"/>
      <c r="EE257" s="5"/>
      <c r="EF257" s="5"/>
      <c r="EG257" s="5"/>
      <c r="EH257" s="5"/>
      <c r="EI257" s="5"/>
    </row>
    <row r="258" spans="30:139" x14ac:dyDescent="0.2">
      <c r="AD258" s="5"/>
      <c r="AE258" s="5"/>
      <c r="AF258" s="5"/>
      <c r="AG258" s="5"/>
      <c r="ED258" s="5"/>
      <c r="EE258" s="5"/>
      <c r="EF258" s="5"/>
      <c r="EG258" s="5"/>
      <c r="EH258" s="5"/>
      <c r="EI258" s="5"/>
    </row>
    <row r="259" spans="30:139" x14ac:dyDescent="0.2">
      <c r="AD259" s="5"/>
      <c r="AE259" s="5"/>
      <c r="AF259" s="5"/>
      <c r="AG259" s="5"/>
      <c r="ED259" s="5"/>
      <c r="EE259" s="5"/>
      <c r="EF259" s="5"/>
      <c r="EG259" s="5"/>
      <c r="EH259" s="5"/>
      <c r="EI259" s="5"/>
    </row>
    <row r="260" spans="30:139" x14ac:dyDescent="0.2">
      <c r="AD260" s="5"/>
      <c r="AE260" s="5"/>
      <c r="AF260" s="5"/>
      <c r="AG260" s="5"/>
      <c r="ED260" s="5"/>
      <c r="EE260" s="5"/>
      <c r="EF260" s="5"/>
      <c r="EG260" s="5"/>
      <c r="EH260" s="5"/>
      <c r="EI260" s="5"/>
    </row>
    <row r="261" spans="30:139" x14ac:dyDescent="0.2">
      <c r="AD261" s="5"/>
      <c r="AE261" s="5"/>
      <c r="AF261" s="5"/>
      <c r="AG261" s="5"/>
      <c r="ED261" s="5"/>
      <c r="EE261" s="5"/>
      <c r="EF261" s="5"/>
      <c r="EG261" s="5"/>
      <c r="EH261" s="5"/>
      <c r="EI261" s="5"/>
    </row>
    <row r="262" spans="30:139" x14ac:dyDescent="0.2">
      <c r="AD262" s="5"/>
      <c r="AE262" s="5"/>
      <c r="AF262" s="5"/>
      <c r="AG262" s="5"/>
      <c r="ED262" s="5"/>
      <c r="EE262" s="5"/>
      <c r="EF262" s="5"/>
      <c r="EG262" s="5"/>
      <c r="EH262" s="5"/>
      <c r="EI262" s="5"/>
    </row>
    <row r="263" spans="30:139" x14ac:dyDescent="0.2">
      <c r="AD263" s="5"/>
      <c r="AE263" s="5"/>
      <c r="AF263" s="5"/>
      <c r="AG263" s="5"/>
      <c r="ED263" s="5"/>
      <c r="EE263" s="5"/>
      <c r="EF263" s="5"/>
      <c r="EG263" s="5"/>
      <c r="EH263" s="5"/>
      <c r="EI263" s="5"/>
    </row>
    <row r="264" spans="30:139" x14ac:dyDescent="0.2">
      <c r="AD264" s="5"/>
      <c r="AE264" s="5"/>
      <c r="AF264" s="5"/>
      <c r="AG264" s="5"/>
      <c r="ED264" s="5"/>
      <c r="EE264" s="5"/>
      <c r="EF264" s="5"/>
      <c r="EG264" s="5"/>
      <c r="EH264" s="5"/>
      <c r="EI264" s="5"/>
    </row>
    <row r="265" spans="30:139" x14ac:dyDescent="0.2">
      <c r="AD265" s="5"/>
      <c r="AE265" s="5"/>
      <c r="AF265" s="5"/>
      <c r="AG265" s="5"/>
      <c r="ED265" s="5"/>
      <c r="EE265" s="5"/>
      <c r="EF265" s="5"/>
      <c r="EG265" s="5"/>
      <c r="EH265" s="5"/>
      <c r="EI265" s="5"/>
    </row>
    <row r="266" spans="30:139" x14ac:dyDescent="0.2">
      <c r="AD266" s="5"/>
      <c r="AE266" s="5"/>
      <c r="AF266" s="5"/>
      <c r="AG266" s="5"/>
      <c r="ED266" s="5"/>
      <c r="EE266" s="5"/>
      <c r="EF266" s="5"/>
      <c r="EG266" s="5"/>
      <c r="EH266" s="5"/>
      <c r="EI266" s="5"/>
    </row>
    <row r="267" spans="30:139" x14ac:dyDescent="0.2">
      <c r="AD267" s="5"/>
      <c r="AE267" s="5"/>
      <c r="AF267" s="5"/>
      <c r="AG267" s="5"/>
      <c r="ED267" s="5"/>
      <c r="EE267" s="5"/>
      <c r="EF267" s="5"/>
      <c r="EG267" s="5"/>
      <c r="EH267" s="5"/>
      <c r="EI267" s="5"/>
    </row>
    <row r="268" spans="30:139" x14ac:dyDescent="0.2">
      <c r="AD268" s="5"/>
      <c r="AE268" s="5"/>
      <c r="AF268" s="5"/>
      <c r="AG268" s="5"/>
      <c r="ED268" s="5"/>
      <c r="EE268" s="5"/>
      <c r="EF268" s="5"/>
      <c r="EG268" s="5"/>
      <c r="EH268" s="5"/>
      <c r="EI268" s="5"/>
    </row>
    <row r="269" spans="30:139" x14ac:dyDescent="0.2">
      <c r="AD269" s="5"/>
      <c r="AE269" s="5"/>
      <c r="AF269" s="5"/>
      <c r="AG269" s="5"/>
      <c r="ED269" s="5"/>
      <c r="EE269" s="5"/>
      <c r="EF269" s="5"/>
      <c r="EG269" s="5"/>
      <c r="EH269" s="5"/>
      <c r="EI269" s="5"/>
    </row>
    <row r="270" spans="30:139" x14ac:dyDescent="0.2">
      <c r="AD270" s="5"/>
      <c r="AE270" s="5"/>
      <c r="AF270" s="5"/>
      <c r="AG270" s="5"/>
      <c r="ED270" s="5"/>
      <c r="EE270" s="5"/>
      <c r="EF270" s="5"/>
      <c r="EG270" s="5"/>
      <c r="EH270" s="5"/>
      <c r="EI270" s="5"/>
    </row>
    <row r="271" spans="30:139" x14ac:dyDescent="0.2">
      <c r="AD271" s="5"/>
      <c r="AE271" s="5"/>
      <c r="AF271" s="5"/>
      <c r="AG271" s="5"/>
      <c r="ED271" s="5"/>
      <c r="EE271" s="5"/>
      <c r="EF271" s="5"/>
      <c r="EG271" s="5"/>
      <c r="EH271" s="5"/>
      <c r="EI271" s="5"/>
    </row>
    <row r="272" spans="30:139" x14ac:dyDescent="0.2">
      <c r="AD272" s="5"/>
      <c r="AE272" s="5"/>
      <c r="AF272" s="5"/>
      <c r="AG272" s="5"/>
      <c r="ED272" s="5"/>
      <c r="EE272" s="5"/>
      <c r="EF272" s="5"/>
      <c r="EG272" s="5"/>
      <c r="EH272" s="5"/>
      <c r="EI272" s="5"/>
    </row>
    <row r="273" spans="30:139" x14ac:dyDescent="0.2">
      <c r="AD273" s="5"/>
      <c r="AE273" s="5"/>
      <c r="AF273" s="5"/>
      <c r="AG273" s="5"/>
      <c r="ED273" s="5"/>
      <c r="EE273" s="5"/>
      <c r="EF273" s="5"/>
      <c r="EG273" s="5"/>
      <c r="EH273" s="5"/>
      <c r="EI273" s="5"/>
    </row>
    <row r="274" spans="30:139" x14ac:dyDescent="0.2">
      <c r="AD274" s="5"/>
      <c r="AE274" s="5"/>
      <c r="AF274" s="5"/>
      <c r="AG274" s="5"/>
      <c r="ED274" s="5"/>
      <c r="EE274" s="5"/>
      <c r="EF274" s="5"/>
      <c r="EG274" s="5"/>
      <c r="EH274" s="5"/>
      <c r="EI274" s="5"/>
    </row>
    <row r="275" spans="30:139" x14ac:dyDescent="0.2">
      <c r="AD275" s="5"/>
      <c r="AE275" s="5"/>
      <c r="AF275" s="5"/>
      <c r="AG275" s="5"/>
      <c r="ED275" s="5"/>
      <c r="EE275" s="5"/>
      <c r="EF275" s="5"/>
      <c r="EG275" s="5"/>
      <c r="EH275" s="5"/>
      <c r="EI275" s="5"/>
    </row>
    <row r="276" spans="30:139" x14ac:dyDescent="0.2">
      <c r="AD276" s="5"/>
      <c r="AE276" s="5"/>
      <c r="AF276" s="5"/>
      <c r="AG276" s="5"/>
      <c r="ED276" s="5"/>
      <c r="EE276" s="5"/>
      <c r="EF276" s="5"/>
      <c r="EG276" s="5"/>
      <c r="EH276" s="5"/>
      <c r="EI276" s="5"/>
    </row>
    <row r="277" spans="30:139" x14ac:dyDescent="0.2">
      <c r="AD277" s="5"/>
      <c r="AE277" s="5"/>
      <c r="AF277" s="5"/>
      <c r="AG277" s="5"/>
      <c r="ED277" s="5"/>
      <c r="EE277" s="5"/>
      <c r="EF277" s="5"/>
      <c r="EG277" s="5"/>
      <c r="EH277" s="5"/>
      <c r="EI277" s="5"/>
    </row>
    <row r="278" spans="30:139" x14ac:dyDescent="0.2">
      <c r="AD278" s="5"/>
      <c r="AE278" s="5"/>
      <c r="AF278" s="5"/>
      <c r="AG278" s="5"/>
      <c r="ED278" s="5"/>
      <c r="EE278" s="5"/>
      <c r="EF278" s="5"/>
      <c r="EG278" s="5"/>
      <c r="EH278" s="5"/>
      <c r="EI278" s="5"/>
    </row>
    <row r="279" spans="30:139" x14ac:dyDescent="0.2">
      <c r="AD279" s="5"/>
      <c r="AE279" s="5"/>
      <c r="AF279" s="5"/>
      <c r="AG279" s="5"/>
      <c r="ED279" s="5"/>
      <c r="EE279" s="5"/>
      <c r="EF279" s="5"/>
      <c r="EG279" s="5"/>
      <c r="EH279" s="5"/>
      <c r="EI279" s="5"/>
    </row>
    <row r="280" spans="30:139" x14ac:dyDescent="0.2">
      <c r="AD280" s="5"/>
      <c r="AE280" s="5"/>
      <c r="AF280" s="5"/>
      <c r="AG280" s="5"/>
      <c r="ED280" s="5"/>
      <c r="EE280" s="5"/>
      <c r="EF280" s="5"/>
      <c r="EG280" s="5"/>
      <c r="EH280" s="5"/>
      <c r="EI280" s="5"/>
    </row>
    <row r="281" spans="30:139" x14ac:dyDescent="0.2">
      <c r="AD281" s="5"/>
      <c r="AE281" s="5"/>
      <c r="AF281" s="5"/>
      <c r="AG281" s="5"/>
      <c r="ED281" s="5"/>
      <c r="EE281" s="5"/>
      <c r="EF281" s="5"/>
      <c r="EG281" s="5"/>
      <c r="EH281" s="5"/>
      <c r="EI281" s="5"/>
    </row>
    <row r="282" spans="30:139" x14ac:dyDescent="0.2">
      <c r="AD282" s="5"/>
      <c r="AE282" s="5"/>
      <c r="AF282" s="5"/>
      <c r="AG282" s="5"/>
      <c r="ED282" s="5"/>
      <c r="EE282" s="5"/>
      <c r="EF282" s="5"/>
      <c r="EG282" s="5"/>
      <c r="EH282" s="5"/>
      <c r="EI282" s="5"/>
    </row>
    <row r="283" spans="30:139" x14ac:dyDescent="0.2">
      <c r="AD283" s="5"/>
      <c r="AE283" s="5"/>
      <c r="AF283" s="5"/>
      <c r="AG283" s="5"/>
      <c r="ED283" s="5"/>
      <c r="EE283" s="5"/>
      <c r="EF283" s="5"/>
      <c r="EG283" s="5"/>
      <c r="EH283" s="5"/>
      <c r="EI283" s="5"/>
    </row>
    <row r="284" spans="30:139" x14ac:dyDescent="0.2">
      <c r="AD284" s="5"/>
      <c r="AE284" s="5"/>
      <c r="AF284" s="5"/>
      <c r="AG284" s="5"/>
      <c r="ED284" s="5"/>
      <c r="EE284" s="5"/>
      <c r="EF284" s="5"/>
      <c r="EG284" s="5"/>
      <c r="EH284" s="5"/>
      <c r="EI284" s="5"/>
    </row>
    <row r="285" spans="30:139" x14ac:dyDescent="0.2">
      <c r="AD285" s="5"/>
      <c r="AE285" s="5"/>
      <c r="AF285" s="5"/>
      <c r="AG285" s="5"/>
      <c r="ED285" s="5"/>
      <c r="EE285" s="5"/>
      <c r="EF285" s="5"/>
      <c r="EG285" s="5"/>
      <c r="EH285" s="5"/>
      <c r="EI285" s="5"/>
    </row>
    <row r="286" spans="30:139" x14ac:dyDescent="0.2">
      <c r="AD286" s="5"/>
      <c r="AE286" s="5"/>
      <c r="AF286" s="5"/>
      <c r="AG286" s="5"/>
      <c r="ED286" s="5"/>
      <c r="EE286" s="5"/>
      <c r="EF286" s="5"/>
      <c r="EG286" s="5"/>
      <c r="EH286" s="5"/>
      <c r="EI286" s="5"/>
    </row>
    <row r="287" spans="30:139" x14ac:dyDescent="0.2">
      <c r="AD287" s="5"/>
      <c r="AE287" s="5"/>
      <c r="AF287" s="5"/>
      <c r="AG287" s="5"/>
      <c r="ED287" s="5"/>
      <c r="EE287" s="5"/>
      <c r="EF287" s="5"/>
      <c r="EG287" s="5"/>
      <c r="EH287" s="5"/>
      <c r="EI287" s="5"/>
    </row>
    <row r="288" spans="30:139" x14ac:dyDescent="0.2">
      <c r="AD288" s="5"/>
      <c r="AE288" s="5"/>
      <c r="AF288" s="5"/>
      <c r="AG288" s="5"/>
      <c r="ED288" s="5"/>
      <c r="EE288" s="5"/>
      <c r="EF288" s="5"/>
      <c r="EG288" s="5"/>
      <c r="EH288" s="5"/>
      <c r="EI288" s="5"/>
    </row>
    <row r="289" spans="30:139" x14ac:dyDescent="0.2">
      <c r="AD289" s="5"/>
      <c r="AE289" s="5"/>
      <c r="AF289" s="5"/>
      <c r="AG289" s="5"/>
      <c r="ED289" s="5"/>
      <c r="EE289" s="5"/>
      <c r="EF289" s="5"/>
      <c r="EG289" s="5"/>
      <c r="EH289" s="5"/>
      <c r="EI289" s="5"/>
    </row>
    <row r="290" spans="30:139" x14ac:dyDescent="0.2">
      <c r="AD290" s="5"/>
      <c r="AE290" s="5"/>
      <c r="AF290" s="5"/>
      <c r="AG290" s="5"/>
      <c r="ED290" s="5"/>
      <c r="EE290" s="5"/>
      <c r="EF290" s="5"/>
      <c r="EG290" s="5"/>
      <c r="EH290" s="5"/>
      <c r="EI290" s="5"/>
    </row>
    <row r="291" spans="30:139" x14ac:dyDescent="0.2">
      <c r="AD291" s="5"/>
      <c r="AE291" s="5"/>
      <c r="AF291" s="5"/>
      <c r="AG291" s="5"/>
      <c r="ED291" s="5"/>
      <c r="EE291" s="5"/>
      <c r="EF291" s="5"/>
      <c r="EG291" s="5"/>
      <c r="EH291" s="5"/>
      <c r="EI291" s="5"/>
    </row>
    <row r="292" spans="30:139" x14ac:dyDescent="0.2">
      <c r="AD292" s="5"/>
      <c r="AE292" s="5"/>
      <c r="AF292" s="5"/>
      <c r="AG292" s="5"/>
      <c r="ED292" s="5"/>
      <c r="EE292" s="5"/>
      <c r="EF292" s="5"/>
      <c r="EG292" s="5"/>
      <c r="EH292" s="5"/>
      <c r="EI292" s="5"/>
    </row>
    <row r="293" spans="30:139" x14ac:dyDescent="0.2">
      <c r="AD293" s="5"/>
      <c r="AE293" s="5"/>
      <c r="AF293" s="5"/>
      <c r="AG293" s="5"/>
      <c r="ED293" s="5"/>
      <c r="EE293" s="5"/>
      <c r="EF293" s="5"/>
      <c r="EG293" s="5"/>
      <c r="EH293" s="5"/>
      <c r="EI293" s="5"/>
    </row>
    <row r="294" spans="30:139" x14ac:dyDescent="0.2">
      <c r="AD294" s="5"/>
      <c r="AE294" s="5"/>
      <c r="AF294" s="5"/>
      <c r="AG294" s="5"/>
      <c r="ED294" s="5"/>
      <c r="EE294" s="5"/>
      <c r="EF294" s="5"/>
      <c r="EG294" s="5"/>
      <c r="EH294" s="5"/>
      <c r="EI294" s="5"/>
    </row>
    <row r="295" spans="30:139" x14ac:dyDescent="0.2">
      <c r="AD295" s="5"/>
      <c r="AE295" s="5"/>
      <c r="AF295" s="5"/>
      <c r="AG295" s="5"/>
      <c r="ED295" s="5"/>
      <c r="EE295" s="5"/>
      <c r="EF295" s="5"/>
      <c r="EG295" s="5"/>
      <c r="EH295" s="5"/>
      <c r="EI295" s="5"/>
    </row>
    <row r="296" spans="30:139" x14ac:dyDescent="0.2">
      <c r="AD296" s="5"/>
      <c r="AE296" s="5"/>
      <c r="AF296" s="5"/>
      <c r="AG296" s="5"/>
      <c r="ED296" s="5"/>
      <c r="EE296" s="5"/>
      <c r="EF296" s="5"/>
      <c r="EG296" s="5"/>
      <c r="EH296" s="5"/>
      <c r="EI296" s="5"/>
    </row>
    <row r="297" spans="30:139" x14ac:dyDescent="0.2">
      <c r="AD297" s="5"/>
      <c r="AE297" s="5"/>
      <c r="AF297" s="5"/>
      <c r="AG297" s="5"/>
      <c r="ED297" s="5"/>
      <c r="EE297" s="5"/>
      <c r="EF297" s="5"/>
      <c r="EG297" s="5"/>
      <c r="EH297" s="5"/>
      <c r="EI297" s="5"/>
    </row>
    <row r="298" spans="30:139" x14ac:dyDescent="0.2">
      <c r="AD298" s="5"/>
      <c r="AE298" s="5"/>
      <c r="AF298" s="5"/>
      <c r="AG298" s="5"/>
      <c r="ED298" s="5"/>
      <c r="EE298" s="5"/>
      <c r="EF298" s="5"/>
      <c r="EG298" s="5"/>
      <c r="EH298" s="5"/>
      <c r="EI298" s="5"/>
    </row>
    <row r="299" spans="30:139" x14ac:dyDescent="0.2">
      <c r="AD299" s="5"/>
      <c r="AE299" s="5"/>
      <c r="AF299" s="5"/>
      <c r="AG299" s="5"/>
      <c r="ED299" s="5"/>
      <c r="EE299" s="5"/>
      <c r="EF299" s="5"/>
      <c r="EG299" s="5"/>
      <c r="EH299" s="5"/>
      <c r="EI299" s="5"/>
    </row>
    <row r="300" spans="30:139" x14ac:dyDescent="0.2">
      <c r="AD300" s="5"/>
      <c r="AE300" s="5"/>
      <c r="AF300" s="5"/>
      <c r="AG300" s="5"/>
      <c r="ED300" s="5"/>
      <c r="EE300" s="5"/>
      <c r="EF300" s="5"/>
      <c r="EG300" s="5"/>
      <c r="EH300" s="5"/>
      <c r="EI300" s="5"/>
    </row>
    <row r="301" spans="30:139" x14ac:dyDescent="0.2">
      <c r="AD301" s="5"/>
      <c r="AE301" s="5"/>
      <c r="AF301" s="5"/>
      <c r="AG301" s="5"/>
      <c r="ED301" s="5"/>
      <c r="EE301" s="5"/>
      <c r="EF301" s="5"/>
      <c r="EG301" s="5"/>
      <c r="EH301" s="5"/>
      <c r="EI301" s="5"/>
    </row>
    <row r="302" spans="30:139" x14ac:dyDescent="0.2">
      <c r="AD302" s="5"/>
      <c r="AE302" s="5"/>
      <c r="AF302" s="5"/>
      <c r="AG302" s="5"/>
      <c r="ED302" s="5"/>
      <c r="EE302" s="5"/>
      <c r="EF302" s="5"/>
      <c r="EG302" s="5"/>
      <c r="EH302" s="5"/>
      <c r="EI302" s="5"/>
    </row>
    <row r="303" spans="30:139" x14ac:dyDescent="0.2">
      <c r="AD303" s="5"/>
      <c r="AE303" s="5"/>
      <c r="AF303" s="5"/>
      <c r="AG303" s="5"/>
      <c r="ED303" s="5"/>
      <c r="EE303" s="5"/>
      <c r="EF303" s="5"/>
      <c r="EG303" s="5"/>
      <c r="EH303" s="5"/>
      <c r="EI303" s="5"/>
    </row>
    <row r="304" spans="30:139" x14ac:dyDescent="0.2">
      <c r="AD304" s="5"/>
      <c r="AE304" s="5"/>
      <c r="AF304" s="5"/>
      <c r="AG304" s="5"/>
      <c r="ED304" s="5"/>
      <c r="EE304" s="5"/>
      <c r="EF304" s="5"/>
      <c r="EG304" s="5"/>
      <c r="EH304" s="5"/>
      <c r="EI304" s="5"/>
    </row>
    <row r="305" spans="30:139" x14ac:dyDescent="0.2">
      <c r="AD305" s="5"/>
      <c r="AE305" s="5"/>
      <c r="AF305" s="5"/>
      <c r="AG305" s="5"/>
      <c r="ED305" s="5"/>
      <c r="EE305" s="5"/>
      <c r="EF305" s="5"/>
      <c r="EG305" s="5"/>
      <c r="EH305" s="5"/>
      <c r="EI305" s="5"/>
    </row>
    <row r="306" spans="30:139" x14ac:dyDescent="0.2">
      <c r="AD306" s="5"/>
      <c r="AE306" s="5"/>
      <c r="AF306" s="5"/>
      <c r="AG306" s="5"/>
      <c r="ED306" s="5"/>
      <c r="EE306" s="5"/>
      <c r="EF306" s="5"/>
      <c r="EG306" s="5"/>
      <c r="EH306" s="5"/>
      <c r="EI306" s="5"/>
    </row>
    <row r="307" spans="30:139" x14ac:dyDescent="0.2">
      <c r="AD307" s="5"/>
      <c r="AE307" s="5"/>
      <c r="AF307" s="5"/>
      <c r="AG307" s="5"/>
      <c r="ED307" s="5"/>
      <c r="EE307" s="5"/>
      <c r="EF307" s="5"/>
      <c r="EG307" s="5"/>
      <c r="EH307" s="5"/>
      <c r="EI307" s="5"/>
    </row>
    <row r="308" spans="30:139" x14ac:dyDescent="0.2">
      <c r="AD308" s="5"/>
      <c r="AE308" s="5"/>
      <c r="AF308" s="5"/>
      <c r="AG308" s="5"/>
      <c r="ED308" s="5"/>
      <c r="EE308" s="5"/>
      <c r="EF308" s="5"/>
      <c r="EG308" s="5"/>
      <c r="EH308" s="5"/>
      <c r="EI308" s="5"/>
    </row>
    <row r="309" spans="30:139" x14ac:dyDescent="0.2">
      <c r="AD309" s="5"/>
      <c r="AE309" s="5"/>
      <c r="AF309" s="5"/>
      <c r="AG309" s="5"/>
      <c r="ED309" s="5"/>
      <c r="EE309" s="5"/>
      <c r="EF309" s="5"/>
      <c r="EG309" s="5"/>
      <c r="EH309" s="5"/>
      <c r="EI309" s="5"/>
    </row>
    <row r="310" spans="30:139" x14ac:dyDescent="0.2">
      <c r="AD310" s="5"/>
      <c r="AE310" s="5"/>
      <c r="AF310" s="5"/>
      <c r="AG310" s="5"/>
      <c r="ED310" s="5"/>
      <c r="EE310" s="5"/>
      <c r="EF310" s="5"/>
      <c r="EG310" s="5"/>
      <c r="EH310" s="5"/>
      <c r="EI310" s="5"/>
    </row>
    <row r="311" spans="30:139" x14ac:dyDescent="0.2">
      <c r="AD311" s="5"/>
      <c r="AE311" s="5"/>
      <c r="AF311" s="5"/>
      <c r="AG311" s="5"/>
      <c r="ED311" s="5"/>
      <c r="EE311" s="5"/>
      <c r="EF311" s="5"/>
      <c r="EG311" s="5"/>
      <c r="EH311" s="5"/>
      <c r="EI311" s="5"/>
    </row>
    <row r="312" spans="30:139" x14ac:dyDescent="0.2">
      <c r="AD312" s="5"/>
      <c r="AE312" s="5"/>
      <c r="AF312" s="5"/>
      <c r="AG312" s="5"/>
      <c r="ED312" s="5"/>
      <c r="EE312" s="5"/>
      <c r="EF312" s="5"/>
      <c r="EG312" s="5"/>
      <c r="EH312" s="5"/>
      <c r="EI312" s="5"/>
    </row>
    <row r="313" spans="30:139" x14ac:dyDescent="0.2">
      <c r="AD313" s="5"/>
      <c r="AE313" s="5"/>
      <c r="AF313" s="5"/>
      <c r="AG313" s="5"/>
      <c r="ED313" s="5"/>
      <c r="EE313" s="5"/>
      <c r="EF313" s="5"/>
      <c r="EG313" s="5"/>
      <c r="EH313" s="5"/>
      <c r="EI313" s="5"/>
    </row>
    <row r="314" spans="30:139" x14ac:dyDescent="0.2">
      <c r="AD314" s="5"/>
      <c r="AE314" s="5"/>
      <c r="AF314" s="5"/>
      <c r="AG314" s="5"/>
      <c r="ED314" s="5"/>
      <c r="EE314" s="5"/>
      <c r="EF314" s="5"/>
      <c r="EG314" s="5"/>
      <c r="EH314" s="5"/>
      <c r="EI314" s="5"/>
    </row>
    <row r="315" spans="30:139" x14ac:dyDescent="0.2">
      <c r="AD315" s="5"/>
      <c r="AE315" s="5"/>
      <c r="AF315" s="5"/>
      <c r="AG315" s="5"/>
      <c r="ED315" s="5"/>
      <c r="EE315" s="5"/>
      <c r="EF315" s="5"/>
      <c r="EG315" s="5"/>
      <c r="EH315" s="5"/>
      <c r="EI315" s="5"/>
    </row>
    <row r="316" spans="30:139" x14ac:dyDescent="0.2">
      <c r="AD316" s="5"/>
      <c r="AE316" s="5"/>
      <c r="AF316" s="5"/>
      <c r="AG316" s="5"/>
      <c r="ED316" s="5"/>
      <c r="EE316" s="5"/>
      <c r="EF316" s="5"/>
      <c r="EG316" s="5"/>
      <c r="EH316" s="5"/>
      <c r="EI316" s="5"/>
    </row>
    <row r="317" spans="30:139" x14ac:dyDescent="0.2">
      <c r="AD317" s="5"/>
      <c r="AE317" s="5"/>
      <c r="AF317" s="5"/>
      <c r="AG317" s="5"/>
      <c r="ED317" s="5"/>
      <c r="EE317" s="5"/>
      <c r="EF317" s="5"/>
      <c r="EG317" s="5"/>
      <c r="EH317" s="5"/>
      <c r="EI317" s="5"/>
    </row>
    <row r="318" spans="30:139" x14ac:dyDescent="0.2">
      <c r="AD318" s="5"/>
      <c r="AE318" s="5"/>
      <c r="AF318" s="5"/>
      <c r="AG318" s="5"/>
      <c r="ED318" s="5"/>
      <c r="EE318" s="5"/>
      <c r="EF318" s="5"/>
      <c r="EG318" s="5"/>
      <c r="EH318" s="5"/>
      <c r="EI318" s="5"/>
    </row>
    <row r="319" spans="30:139" x14ac:dyDescent="0.2">
      <c r="AD319" s="5"/>
      <c r="AE319" s="5"/>
      <c r="AF319" s="5"/>
      <c r="AG319" s="5"/>
      <c r="ED319" s="5"/>
      <c r="EE319" s="5"/>
      <c r="EF319" s="5"/>
      <c r="EG319" s="5"/>
      <c r="EH319" s="5"/>
      <c r="EI319" s="5"/>
    </row>
    <row r="320" spans="30:139" x14ac:dyDescent="0.2">
      <c r="AD320" s="5"/>
      <c r="AE320" s="5"/>
      <c r="AF320" s="5"/>
      <c r="AG320" s="5"/>
      <c r="ED320" s="5"/>
      <c r="EE320" s="5"/>
      <c r="EF320" s="5"/>
      <c r="EG320" s="5"/>
      <c r="EH320" s="5"/>
      <c r="EI320" s="5"/>
    </row>
    <row r="321" spans="30:139" x14ac:dyDescent="0.2">
      <c r="AD321" s="5"/>
      <c r="AE321" s="5"/>
      <c r="AF321" s="5"/>
      <c r="AG321" s="5"/>
      <c r="ED321" s="5"/>
      <c r="EE321" s="5"/>
      <c r="EF321" s="5"/>
      <c r="EG321" s="5"/>
      <c r="EH321" s="5"/>
      <c r="EI321" s="5"/>
    </row>
    <row r="322" spans="30:139" x14ac:dyDescent="0.2">
      <c r="AD322" s="5"/>
      <c r="AE322" s="5"/>
      <c r="AF322" s="5"/>
      <c r="AG322" s="5"/>
      <c r="ED322" s="5"/>
      <c r="EE322" s="5"/>
      <c r="EF322" s="5"/>
      <c r="EG322" s="5"/>
      <c r="EH322" s="5"/>
      <c r="EI322" s="5"/>
    </row>
    <row r="323" spans="30:139" x14ac:dyDescent="0.2">
      <c r="AD323" s="5"/>
      <c r="AE323" s="5"/>
      <c r="AF323" s="5"/>
      <c r="AG323" s="5"/>
      <c r="ED323" s="5"/>
      <c r="EE323" s="5"/>
      <c r="EF323" s="5"/>
      <c r="EG323" s="5"/>
      <c r="EH323" s="5"/>
      <c r="EI323" s="5"/>
    </row>
    <row r="324" spans="30:139" x14ac:dyDescent="0.2">
      <c r="AD324" s="5"/>
      <c r="AE324" s="5"/>
      <c r="AF324" s="5"/>
      <c r="AG324" s="5"/>
      <c r="ED324" s="5"/>
      <c r="EE324" s="5"/>
      <c r="EF324" s="5"/>
      <c r="EG324" s="5"/>
      <c r="EH324" s="5"/>
      <c r="EI324" s="5"/>
    </row>
    <row r="325" spans="30:139" x14ac:dyDescent="0.2">
      <c r="AD325" s="5"/>
      <c r="AE325" s="5"/>
      <c r="AF325" s="5"/>
      <c r="AG325" s="5"/>
      <c r="ED325" s="5"/>
      <c r="EE325" s="5"/>
      <c r="EF325" s="5"/>
      <c r="EG325" s="5"/>
      <c r="EH325" s="5"/>
      <c r="EI325" s="5"/>
    </row>
    <row r="326" spans="30:139" x14ac:dyDescent="0.2">
      <c r="AD326" s="5"/>
      <c r="AE326" s="5"/>
      <c r="AF326" s="5"/>
      <c r="AG326" s="5"/>
      <c r="ED326" s="5"/>
      <c r="EE326" s="5"/>
      <c r="EF326" s="5"/>
      <c r="EG326" s="5"/>
      <c r="EH326" s="5"/>
      <c r="EI326" s="5"/>
    </row>
    <row r="327" spans="30:139" x14ac:dyDescent="0.2">
      <c r="AD327" s="5"/>
      <c r="AE327" s="5"/>
      <c r="AF327" s="5"/>
      <c r="AG327" s="5"/>
      <c r="ED327" s="5"/>
      <c r="EE327" s="5"/>
      <c r="EF327" s="5"/>
      <c r="EG327" s="5"/>
      <c r="EH327" s="5"/>
      <c r="EI327" s="5"/>
    </row>
    <row r="328" spans="30:139" x14ac:dyDescent="0.2">
      <c r="AD328" s="5"/>
      <c r="AE328" s="5"/>
      <c r="AF328" s="5"/>
      <c r="AG328" s="5"/>
      <c r="ED328" s="5"/>
      <c r="EE328" s="5"/>
      <c r="EF328" s="5"/>
      <c r="EG328" s="5"/>
      <c r="EH328" s="5"/>
      <c r="EI328" s="5"/>
    </row>
    <row r="329" spans="30:139" x14ac:dyDescent="0.2">
      <c r="AD329" s="5"/>
      <c r="AE329" s="5"/>
      <c r="AF329" s="5"/>
      <c r="AG329" s="5"/>
      <c r="ED329" s="5"/>
      <c r="EE329" s="5"/>
      <c r="EF329" s="5"/>
      <c r="EG329" s="5"/>
      <c r="EH329" s="5"/>
      <c r="EI329" s="5"/>
    </row>
    <row r="330" spans="30:139" x14ac:dyDescent="0.2">
      <c r="AD330" s="5"/>
      <c r="AE330" s="5"/>
      <c r="AF330" s="5"/>
      <c r="AG330" s="5"/>
      <c r="ED330" s="5"/>
      <c r="EE330" s="5"/>
      <c r="EF330" s="5"/>
      <c r="EG330" s="5"/>
      <c r="EH330" s="5"/>
      <c r="EI330" s="5"/>
    </row>
    <row r="331" spans="30:139" x14ac:dyDescent="0.2">
      <c r="AD331" s="5"/>
      <c r="AE331" s="5"/>
      <c r="AF331" s="5"/>
      <c r="AG331" s="5"/>
      <c r="ED331" s="5"/>
      <c r="EE331" s="5"/>
      <c r="EF331" s="5"/>
      <c r="EG331" s="5"/>
      <c r="EH331" s="5"/>
      <c r="EI331" s="5"/>
    </row>
    <row r="332" spans="30:139" x14ac:dyDescent="0.2">
      <c r="AD332" s="5"/>
      <c r="AE332" s="5"/>
      <c r="AF332" s="5"/>
      <c r="AG332" s="5"/>
      <c r="ED332" s="5"/>
      <c r="EE332" s="5"/>
      <c r="EF332" s="5"/>
      <c r="EG332" s="5"/>
      <c r="EH332" s="5"/>
      <c r="EI332" s="5"/>
    </row>
    <row r="333" spans="30:139" x14ac:dyDescent="0.2">
      <c r="AD333" s="5"/>
      <c r="AE333" s="5"/>
      <c r="AF333" s="5"/>
      <c r="AG333" s="5"/>
      <c r="ED333" s="5"/>
      <c r="EE333" s="5"/>
      <c r="EF333" s="5"/>
      <c r="EG333" s="5"/>
      <c r="EH333" s="5"/>
      <c r="EI333" s="5"/>
    </row>
    <row r="334" spans="30:139" x14ac:dyDescent="0.2">
      <c r="AD334" s="5"/>
      <c r="AE334" s="5"/>
      <c r="AF334" s="5"/>
      <c r="AG334" s="5"/>
      <c r="ED334" s="5"/>
      <c r="EE334" s="5"/>
      <c r="EF334" s="5"/>
      <c r="EG334" s="5"/>
      <c r="EH334" s="5"/>
      <c r="EI334" s="5"/>
    </row>
    <row r="335" spans="30:139" x14ac:dyDescent="0.2">
      <c r="AD335" s="5"/>
      <c r="AE335" s="5"/>
      <c r="AF335" s="5"/>
      <c r="AG335" s="5"/>
      <c r="ED335" s="5"/>
      <c r="EE335" s="5"/>
      <c r="EF335" s="5"/>
      <c r="EG335" s="5"/>
      <c r="EH335" s="5"/>
      <c r="EI335" s="5"/>
    </row>
    <row r="336" spans="30:139" x14ac:dyDescent="0.2">
      <c r="AD336" s="5"/>
      <c r="AE336" s="5"/>
      <c r="AF336" s="5"/>
      <c r="AG336" s="5"/>
      <c r="ED336" s="5"/>
      <c r="EE336" s="5"/>
      <c r="EF336" s="5"/>
      <c r="EG336" s="5"/>
      <c r="EH336" s="5"/>
      <c r="EI336" s="5"/>
    </row>
    <row r="337" spans="30:139" x14ac:dyDescent="0.2">
      <c r="AD337" s="5"/>
      <c r="AE337" s="5"/>
      <c r="AF337" s="5"/>
      <c r="AG337" s="5"/>
      <c r="ED337" s="5"/>
      <c r="EE337" s="5"/>
      <c r="EF337" s="5"/>
      <c r="EG337" s="5"/>
      <c r="EH337" s="5"/>
      <c r="EI337" s="5"/>
    </row>
    <row r="338" spans="30:139" x14ac:dyDescent="0.2">
      <c r="AD338" s="5"/>
      <c r="AE338" s="5"/>
      <c r="AF338" s="5"/>
      <c r="AG338" s="5"/>
      <c r="ED338" s="5"/>
      <c r="EE338" s="5"/>
      <c r="EF338" s="5"/>
      <c r="EG338" s="5"/>
      <c r="EH338" s="5"/>
      <c r="EI338" s="5"/>
    </row>
    <row r="339" spans="30:139" x14ac:dyDescent="0.2">
      <c r="AD339" s="5"/>
      <c r="AE339" s="5"/>
      <c r="AF339" s="5"/>
      <c r="AG339" s="5"/>
      <c r="ED339" s="5"/>
      <c r="EE339" s="5"/>
      <c r="EF339" s="5"/>
      <c r="EG339" s="5"/>
      <c r="EH339" s="5"/>
      <c r="EI339" s="5"/>
    </row>
    <row r="340" spans="30:139" x14ac:dyDescent="0.2">
      <c r="AD340" s="5"/>
      <c r="AE340" s="5"/>
      <c r="AF340" s="5"/>
      <c r="AG340" s="5"/>
      <c r="ED340" s="5"/>
      <c r="EE340" s="5"/>
      <c r="EF340" s="5"/>
      <c r="EG340" s="5"/>
      <c r="EH340" s="5"/>
      <c r="EI340" s="5"/>
    </row>
    <row r="341" spans="30:139" x14ac:dyDescent="0.2">
      <c r="AD341" s="5"/>
      <c r="AE341" s="5"/>
      <c r="AF341" s="5"/>
      <c r="AG341" s="5"/>
      <c r="ED341" s="5"/>
      <c r="EE341" s="5"/>
      <c r="EF341" s="5"/>
      <c r="EG341" s="5"/>
      <c r="EH341" s="5"/>
      <c r="EI341" s="5"/>
    </row>
    <row r="342" spans="30:139" x14ac:dyDescent="0.2">
      <c r="AD342" s="5"/>
      <c r="AE342" s="5"/>
      <c r="AF342" s="5"/>
      <c r="AG342" s="5"/>
      <c r="ED342" s="5"/>
      <c r="EE342" s="5"/>
      <c r="EF342" s="5"/>
      <c r="EG342" s="5"/>
      <c r="EH342" s="5"/>
      <c r="EI342" s="5"/>
    </row>
    <row r="343" spans="30:139" x14ac:dyDescent="0.2">
      <c r="AD343" s="5"/>
      <c r="AE343" s="5"/>
      <c r="AF343" s="5"/>
      <c r="AG343" s="5"/>
      <c r="ED343" s="5"/>
      <c r="EE343" s="5"/>
      <c r="EF343" s="5"/>
      <c r="EG343" s="5"/>
      <c r="EH343" s="5"/>
      <c r="EI343" s="5"/>
    </row>
    <row r="344" spans="30:139" x14ac:dyDescent="0.2">
      <c r="AD344" s="5"/>
      <c r="AE344" s="5"/>
      <c r="AF344" s="5"/>
      <c r="AG344" s="5"/>
      <c r="ED344" s="5"/>
      <c r="EE344" s="5"/>
      <c r="EF344" s="5"/>
      <c r="EG344" s="5"/>
      <c r="EH344" s="5"/>
      <c r="EI344" s="5"/>
    </row>
    <row r="345" spans="30:139" x14ac:dyDescent="0.2">
      <c r="AD345" s="5"/>
      <c r="AE345" s="5"/>
      <c r="AF345" s="5"/>
      <c r="AG345" s="5"/>
      <c r="ED345" s="5"/>
      <c r="EE345" s="5"/>
      <c r="EF345" s="5"/>
      <c r="EG345" s="5"/>
      <c r="EH345" s="5"/>
      <c r="EI345" s="5"/>
    </row>
    <row r="346" spans="30:139" x14ac:dyDescent="0.2">
      <c r="AD346" s="5"/>
      <c r="AE346" s="5"/>
      <c r="AF346" s="5"/>
      <c r="AG346" s="5"/>
      <c r="ED346" s="5"/>
      <c r="EE346" s="5"/>
      <c r="EF346" s="5"/>
      <c r="EG346" s="5"/>
      <c r="EH346" s="5"/>
      <c r="EI346" s="5"/>
    </row>
    <row r="347" spans="30:139" x14ac:dyDescent="0.2">
      <c r="AD347" s="5"/>
      <c r="AE347" s="5"/>
      <c r="AF347" s="5"/>
      <c r="AG347" s="5"/>
      <c r="ED347" s="5"/>
      <c r="EE347" s="5"/>
      <c r="EF347" s="5"/>
      <c r="EG347" s="5"/>
      <c r="EH347" s="5"/>
      <c r="EI347" s="5"/>
    </row>
    <row r="348" spans="30:139" x14ac:dyDescent="0.2">
      <c r="AD348" s="5"/>
      <c r="AE348" s="5"/>
      <c r="AF348" s="5"/>
      <c r="AG348" s="5"/>
      <c r="ED348" s="5"/>
      <c r="EE348" s="5"/>
      <c r="EF348" s="5"/>
      <c r="EG348" s="5"/>
      <c r="EH348" s="5"/>
      <c r="EI348" s="5"/>
    </row>
    <row r="349" spans="30:139" x14ac:dyDescent="0.2">
      <c r="AD349" s="5"/>
      <c r="AE349" s="5"/>
      <c r="AF349" s="5"/>
      <c r="AG349" s="5"/>
      <c r="ED349" s="5"/>
      <c r="EE349" s="5"/>
      <c r="EF349" s="5"/>
      <c r="EG349" s="5"/>
      <c r="EH349" s="5"/>
      <c r="EI349" s="5"/>
    </row>
    <row r="350" spans="30:139" x14ac:dyDescent="0.2">
      <c r="AD350" s="5"/>
      <c r="AE350" s="5"/>
      <c r="AF350" s="5"/>
      <c r="AG350" s="5"/>
      <c r="ED350" s="5"/>
      <c r="EE350" s="5"/>
      <c r="EF350" s="5"/>
      <c r="EG350" s="5"/>
      <c r="EH350" s="5"/>
      <c r="EI350" s="5"/>
    </row>
    <row r="351" spans="30:139" x14ac:dyDescent="0.2">
      <c r="AD351" s="5"/>
      <c r="AE351" s="5"/>
      <c r="AF351" s="5"/>
      <c r="AG351" s="5"/>
      <c r="ED351" s="5"/>
      <c r="EE351" s="5"/>
      <c r="EF351" s="5"/>
      <c r="EG351" s="5"/>
      <c r="EH351" s="5"/>
      <c r="EI351" s="5"/>
    </row>
    <row r="352" spans="30:139" x14ac:dyDescent="0.2">
      <c r="AD352" s="5"/>
      <c r="AE352" s="5"/>
      <c r="AF352" s="5"/>
      <c r="AG352" s="5"/>
      <c r="ED352" s="5"/>
      <c r="EE352" s="5"/>
      <c r="EF352" s="5"/>
      <c r="EG352" s="5"/>
      <c r="EH352" s="5"/>
      <c r="EI352" s="5"/>
    </row>
    <row r="353" spans="30:139" x14ac:dyDescent="0.2">
      <c r="AD353" s="5"/>
      <c r="AE353" s="5"/>
      <c r="AF353" s="5"/>
      <c r="AG353" s="5"/>
      <c r="ED353" s="5"/>
      <c r="EE353" s="5"/>
      <c r="EF353" s="5"/>
      <c r="EG353" s="5"/>
      <c r="EH353" s="5"/>
      <c r="EI353" s="5"/>
    </row>
    <row r="354" spans="30:139" x14ac:dyDescent="0.2">
      <c r="AD354" s="5"/>
      <c r="AE354" s="5"/>
      <c r="AF354" s="5"/>
      <c r="AG354" s="5"/>
      <c r="ED354" s="5"/>
      <c r="EE354" s="5"/>
      <c r="EF354" s="5"/>
      <c r="EG354" s="5"/>
      <c r="EH354" s="5"/>
      <c r="EI354" s="5"/>
    </row>
    <row r="355" spans="30:139" x14ac:dyDescent="0.2">
      <c r="AD355" s="5"/>
      <c r="AE355" s="5"/>
      <c r="AF355" s="5"/>
      <c r="AG355" s="5"/>
      <c r="ED355" s="5"/>
      <c r="EE355" s="5"/>
      <c r="EF355" s="5"/>
      <c r="EG355" s="5"/>
      <c r="EH355" s="5"/>
      <c r="EI355" s="5"/>
    </row>
    <row r="356" spans="30:139" x14ac:dyDescent="0.2">
      <c r="AD356" s="5"/>
      <c r="AE356" s="5"/>
      <c r="AF356" s="5"/>
      <c r="AG356" s="5"/>
      <c r="ED356" s="5"/>
      <c r="EE356" s="5"/>
      <c r="EF356" s="5"/>
      <c r="EG356" s="5"/>
      <c r="EH356" s="5"/>
      <c r="EI356" s="5"/>
    </row>
    <row r="357" spans="30:139" x14ac:dyDescent="0.2">
      <c r="AD357" s="5"/>
      <c r="AE357" s="5"/>
      <c r="AF357" s="5"/>
      <c r="AG357" s="5"/>
      <c r="ED357" s="5"/>
      <c r="EE357" s="5"/>
      <c r="EF357" s="5"/>
      <c r="EG357" s="5"/>
      <c r="EH357" s="5"/>
      <c r="EI357" s="5"/>
    </row>
    <row r="358" spans="30:139" x14ac:dyDescent="0.2">
      <c r="AD358" s="5"/>
      <c r="AE358" s="5"/>
      <c r="AF358" s="5"/>
      <c r="AG358" s="5"/>
      <c r="ED358" s="5"/>
      <c r="EE358" s="5"/>
      <c r="EF358" s="5"/>
      <c r="EG358" s="5"/>
      <c r="EH358" s="5"/>
      <c r="EI358" s="5"/>
    </row>
    <row r="359" spans="30:139" x14ac:dyDescent="0.2">
      <c r="AD359" s="5"/>
      <c r="AE359" s="5"/>
      <c r="AF359" s="5"/>
      <c r="AG359" s="5"/>
      <c r="ED359" s="5"/>
      <c r="EE359" s="5"/>
      <c r="EF359" s="5"/>
      <c r="EG359" s="5"/>
      <c r="EH359" s="5"/>
      <c r="EI359" s="5"/>
    </row>
    <row r="360" spans="30:139" x14ac:dyDescent="0.2">
      <c r="AD360" s="5"/>
      <c r="AE360" s="5"/>
      <c r="AF360" s="5"/>
      <c r="AG360" s="5"/>
      <c r="ED360" s="5"/>
      <c r="EE360" s="5"/>
      <c r="EF360" s="5"/>
      <c r="EG360" s="5"/>
      <c r="EH360" s="5"/>
      <c r="EI360" s="5"/>
    </row>
    <row r="361" spans="30:139" x14ac:dyDescent="0.2">
      <c r="AD361" s="5"/>
      <c r="AE361" s="5"/>
      <c r="AF361" s="5"/>
      <c r="AG361" s="5"/>
      <c r="ED361" s="5"/>
      <c r="EE361" s="5"/>
      <c r="EF361" s="5"/>
      <c r="EG361" s="5"/>
      <c r="EH361" s="5"/>
      <c r="EI361" s="5"/>
    </row>
    <row r="362" spans="30:139" x14ac:dyDescent="0.2">
      <c r="AD362" s="5"/>
      <c r="AE362" s="5"/>
      <c r="AF362" s="5"/>
      <c r="AG362" s="5"/>
      <c r="ED362" s="5"/>
      <c r="EE362" s="5"/>
      <c r="EF362" s="5"/>
      <c r="EG362" s="5"/>
      <c r="EH362" s="5"/>
      <c r="EI362" s="5"/>
    </row>
    <row r="363" spans="30:139" x14ac:dyDescent="0.2">
      <c r="AD363" s="5"/>
      <c r="AE363" s="5"/>
      <c r="AF363" s="5"/>
      <c r="AG363" s="5"/>
      <c r="ED363" s="5"/>
      <c r="EE363" s="5"/>
      <c r="EF363" s="5"/>
      <c r="EG363" s="5"/>
      <c r="EH363" s="5"/>
      <c r="EI363" s="5"/>
    </row>
    <row r="364" spans="30:139" x14ac:dyDescent="0.2">
      <c r="AD364" s="5"/>
      <c r="AE364" s="5"/>
      <c r="AF364" s="5"/>
      <c r="AG364" s="5"/>
      <c r="ED364" s="5"/>
      <c r="EE364" s="5"/>
      <c r="EF364" s="5"/>
      <c r="EG364" s="5"/>
      <c r="EH364" s="5"/>
      <c r="EI364" s="5"/>
    </row>
    <row r="365" spans="30:139" x14ac:dyDescent="0.2">
      <c r="AD365" s="5"/>
      <c r="AE365" s="5"/>
      <c r="AF365" s="5"/>
      <c r="AG365" s="5"/>
      <c r="ED365" s="5"/>
      <c r="EE365" s="5"/>
      <c r="EF365" s="5"/>
      <c r="EG365" s="5"/>
      <c r="EH365" s="5"/>
      <c r="EI365" s="5"/>
    </row>
    <row r="366" spans="30:139" x14ac:dyDescent="0.2">
      <c r="AD366" s="5"/>
      <c r="AE366" s="5"/>
      <c r="AF366" s="5"/>
      <c r="AG366" s="5"/>
      <c r="ED366" s="5"/>
      <c r="EE366" s="5"/>
      <c r="EF366" s="5"/>
      <c r="EG366" s="5"/>
      <c r="EH366" s="5"/>
      <c r="EI366" s="5"/>
    </row>
    <row r="367" spans="30:139" x14ac:dyDescent="0.2">
      <c r="AD367" s="5"/>
      <c r="AE367" s="5"/>
      <c r="AF367" s="5"/>
      <c r="AG367" s="5"/>
      <c r="ED367" s="5"/>
      <c r="EE367" s="5"/>
      <c r="EF367" s="5"/>
      <c r="EG367" s="5"/>
      <c r="EH367" s="5"/>
      <c r="EI367" s="5"/>
    </row>
    <row r="368" spans="30:139" x14ac:dyDescent="0.2">
      <c r="AD368" s="5"/>
      <c r="AE368" s="5"/>
      <c r="AF368" s="5"/>
      <c r="AG368" s="5"/>
      <c r="ED368" s="5"/>
      <c r="EE368" s="5"/>
      <c r="EF368" s="5"/>
      <c r="EG368" s="5"/>
      <c r="EH368" s="5"/>
      <c r="EI368" s="5"/>
    </row>
    <row r="369" spans="30:139" x14ac:dyDescent="0.2">
      <c r="AD369" s="5"/>
      <c r="AE369" s="5"/>
      <c r="AF369" s="5"/>
      <c r="AG369" s="5"/>
      <c r="ED369" s="5"/>
      <c r="EE369" s="5"/>
      <c r="EF369" s="5"/>
      <c r="EG369" s="5"/>
      <c r="EH369" s="5"/>
      <c r="EI369" s="5"/>
    </row>
    <row r="370" spans="30:139" x14ac:dyDescent="0.2">
      <c r="AD370" s="5"/>
      <c r="AE370" s="5"/>
      <c r="AF370" s="5"/>
      <c r="AG370" s="5"/>
      <c r="ED370" s="5"/>
      <c r="EE370" s="5"/>
      <c r="EF370" s="5"/>
      <c r="EG370" s="5"/>
      <c r="EH370" s="5"/>
      <c r="EI370" s="5"/>
    </row>
    <row r="371" spans="30:139" x14ac:dyDescent="0.2">
      <c r="AD371" s="5"/>
      <c r="AE371" s="5"/>
      <c r="AF371" s="5"/>
      <c r="AG371" s="5"/>
      <c r="ED371" s="5"/>
      <c r="EE371" s="5"/>
      <c r="EF371" s="5"/>
      <c r="EG371" s="5"/>
      <c r="EH371" s="5"/>
      <c r="EI371" s="5"/>
    </row>
    <row r="372" spans="30:139" x14ac:dyDescent="0.2">
      <c r="AD372" s="5"/>
      <c r="AE372" s="5"/>
      <c r="AF372" s="5"/>
      <c r="AG372" s="5"/>
      <c r="ED372" s="5"/>
      <c r="EE372" s="5"/>
      <c r="EF372" s="5"/>
      <c r="EG372" s="5"/>
      <c r="EH372" s="5"/>
      <c r="EI372" s="5"/>
    </row>
    <row r="373" spans="30:139" x14ac:dyDescent="0.2">
      <c r="AD373" s="5"/>
      <c r="AE373" s="5"/>
      <c r="AF373" s="5"/>
      <c r="AG373" s="5"/>
      <c r="ED373" s="5"/>
      <c r="EE373" s="5"/>
      <c r="EF373" s="5"/>
      <c r="EG373" s="5"/>
      <c r="EH373" s="5"/>
      <c r="EI373" s="5"/>
    </row>
    <row r="374" spans="30:139" x14ac:dyDescent="0.2">
      <c r="AD374" s="5"/>
      <c r="AE374" s="5"/>
      <c r="AF374" s="5"/>
      <c r="AG374" s="5"/>
      <c r="ED374" s="5"/>
      <c r="EE374" s="5"/>
      <c r="EF374" s="5"/>
      <c r="EG374" s="5"/>
      <c r="EH374" s="5"/>
      <c r="EI374" s="5"/>
    </row>
    <row r="375" spans="30:139" x14ac:dyDescent="0.2">
      <c r="AD375" s="5"/>
      <c r="AE375" s="5"/>
      <c r="AF375" s="5"/>
      <c r="AG375" s="5"/>
      <c r="ED375" s="5"/>
      <c r="EE375" s="5"/>
      <c r="EF375" s="5"/>
      <c r="EG375" s="5"/>
      <c r="EH375" s="5"/>
      <c r="EI375" s="5"/>
    </row>
    <row r="376" spans="30:139" x14ac:dyDescent="0.2">
      <c r="AD376" s="5"/>
      <c r="AE376" s="5"/>
      <c r="AF376" s="5"/>
      <c r="AG376" s="5"/>
      <c r="ED376" s="5"/>
      <c r="EE376" s="5"/>
      <c r="EF376" s="5"/>
      <c r="EG376" s="5"/>
      <c r="EH376" s="5"/>
      <c r="EI376" s="5"/>
    </row>
    <row r="377" spans="30:139" x14ac:dyDescent="0.2">
      <c r="AD377" s="5"/>
      <c r="AE377" s="5"/>
      <c r="AF377" s="5"/>
      <c r="AG377" s="5"/>
      <c r="ED377" s="5"/>
      <c r="EE377" s="5"/>
      <c r="EF377" s="5"/>
      <c r="EG377" s="5"/>
      <c r="EH377" s="5"/>
      <c r="EI377" s="5"/>
    </row>
    <row r="378" spans="30:139" x14ac:dyDescent="0.2">
      <c r="AD378" s="5"/>
      <c r="AE378" s="5"/>
      <c r="AF378" s="5"/>
      <c r="AG378" s="5"/>
      <c r="ED378" s="5"/>
      <c r="EE378" s="5"/>
      <c r="EF378" s="5"/>
      <c r="EG378" s="5"/>
      <c r="EH378" s="5"/>
      <c r="EI378" s="5"/>
    </row>
    <row r="379" spans="30:139" x14ac:dyDescent="0.2">
      <c r="AD379" s="5"/>
      <c r="AE379" s="5"/>
      <c r="AF379" s="5"/>
      <c r="AG379" s="5"/>
      <c r="ED379" s="5"/>
      <c r="EE379" s="5"/>
      <c r="EF379" s="5"/>
      <c r="EG379" s="5"/>
      <c r="EH379" s="5"/>
      <c r="EI379" s="5"/>
    </row>
    <row r="380" spans="30:139" x14ac:dyDescent="0.2">
      <c r="AD380" s="5"/>
      <c r="AE380" s="5"/>
      <c r="AF380" s="5"/>
      <c r="AG380" s="5"/>
      <c r="ED380" s="5"/>
      <c r="EE380" s="5"/>
      <c r="EF380" s="5"/>
      <c r="EG380" s="5"/>
      <c r="EH380" s="5"/>
      <c r="EI380" s="5"/>
    </row>
    <row r="381" spans="30:139" x14ac:dyDescent="0.2">
      <c r="AD381" s="5"/>
      <c r="AE381" s="5"/>
      <c r="AF381" s="5"/>
      <c r="AG381" s="5"/>
      <c r="ED381" s="5"/>
      <c r="EE381" s="5"/>
      <c r="EF381" s="5"/>
      <c r="EG381" s="5"/>
      <c r="EH381" s="5"/>
      <c r="EI381" s="5"/>
    </row>
    <row r="382" spans="30:139" x14ac:dyDescent="0.2">
      <c r="AD382" s="5"/>
      <c r="AE382" s="5"/>
      <c r="AF382" s="5"/>
      <c r="AG382" s="5"/>
      <c r="ED382" s="5"/>
      <c r="EE382" s="5"/>
      <c r="EF382" s="5"/>
      <c r="EG382" s="5"/>
      <c r="EH382" s="5"/>
      <c r="EI382" s="5"/>
    </row>
    <row r="383" spans="30:139" x14ac:dyDescent="0.2">
      <c r="AD383" s="5"/>
      <c r="AE383" s="5"/>
      <c r="AF383" s="5"/>
      <c r="AG383" s="5"/>
      <c r="ED383" s="5"/>
      <c r="EE383" s="5"/>
      <c r="EF383" s="5"/>
      <c r="EG383" s="5"/>
      <c r="EH383" s="5"/>
      <c r="EI383" s="5"/>
    </row>
    <row r="384" spans="30:139" x14ac:dyDescent="0.2">
      <c r="AD384" s="5"/>
      <c r="AE384" s="5"/>
      <c r="AF384" s="5"/>
      <c r="AG384" s="5"/>
      <c r="ED384" s="5"/>
      <c r="EE384" s="5"/>
      <c r="EF384" s="5"/>
      <c r="EG384" s="5"/>
      <c r="EH384" s="5"/>
      <c r="EI384" s="5"/>
    </row>
    <row r="385" spans="30:139" x14ac:dyDescent="0.2">
      <c r="AD385" s="5"/>
      <c r="AE385" s="5"/>
      <c r="AF385" s="5"/>
      <c r="AG385" s="5"/>
      <c r="ED385" s="5"/>
      <c r="EE385" s="5"/>
      <c r="EF385" s="5"/>
      <c r="EG385" s="5"/>
      <c r="EH385" s="5"/>
      <c r="EI385" s="5"/>
    </row>
    <row r="386" spans="30:139" x14ac:dyDescent="0.2">
      <c r="AD386" s="5"/>
      <c r="AE386" s="5"/>
      <c r="AF386" s="5"/>
      <c r="AG386" s="5"/>
      <c r="ED386" s="5"/>
      <c r="EE386" s="5"/>
      <c r="EF386" s="5"/>
      <c r="EG386" s="5"/>
      <c r="EH386" s="5"/>
      <c r="EI386" s="5"/>
    </row>
    <row r="387" spans="30:139" x14ac:dyDescent="0.2">
      <c r="AD387" s="5"/>
      <c r="AE387" s="5"/>
      <c r="AF387" s="5"/>
      <c r="AG387" s="5"/>
      <c r="ED387" s="5"/>
      <c r="EE387" s="5"/>
      <c r="EF387" s="5"/>
      <c r="EG387" s="5"/>
      <c r="EH387" s="5"/>
      <c r="EI387" s="5"/>
    </row>
    <row r="388" spans="30:139" x14ac:dyDescent="0.2">
      <c r="AD388" s="5"/>
      <c r="AE388" s="5"/>
      <c r="AF388" s="5"/>
      <c r="AG388" s="5"/>
      <c r="ED388" s="5"/>
      <c r="EE388" s="5"/>
      <c r="EF388" s="5"/>
      <c r="EG388" s="5"/>
      <c r="EH388" s="5"/>
      <c r="EI388" s="5"/>
    </row>
    <row r="389" spans="30:139" x14ac:dyDescent="0.2">
      <c r="AD389" s="5"/>
      <c r="AE389" s="5"/>
      <c r="AF389" s="5"/>
      <c r="AG389" s="5"/>
      <c r="ED389" s="5"/>
      <c r="EE389" s="5"/>
      <c r="EF389" s="5"/>
      <c r="EG389" s="5"/>
      <c r="EH389" s="5"/>
      <c r="EI389" s="5"/>
    </row>
    <row r="390" spans="30:139" x14ac:dyDescent="0.2">
      <c r="AD390" s="5"/>
      <c r="AE390" s="5"/>
      <c r="AF390" s="5"/>
      <c r="AG390" s="5"/>
      <c r="ED390" s="5"/>
      <c r="EE390" s="5"/>
      <c r="EF390" s="5"/>
      <c r="EG390" s="5"/>
      <c r="EH390" s="5"/>
      <c r="EI390" s="5"/>
    </row>
    <row r="391" spans="30:139" x14ac:dyDescent="0.2">
      <c r="AD391" s="5"/>
      <c r="AE391" s="5"/>
      <c r="AF391" s="5"/>
      <c r="AG391" s="5"/>
      <c r="ED391" s="5"/>
      <c r="EE391" s="5"/>
      <c r="EF391" s="5"/>
      <c r="EG391" s="5"/>
      <c r="EH391" s="5"/>
      <c r="EI391" s="5"/>
    </row>
    <row r="392" spans="30:139" x14ac:dyDescent="0.2">
      <c r="AD392" s="5"/>
      <c r="AE392" s="5"/>
      <c r="AF392" s="5"/>
      <c r="AG392" s="5"/>
      <c r="ED392" s="5"/>
      <c r="EE392" s="5"/>
      <c r="EF392" s="5"/>
      <c r="EG392" s="5"/>
      <c r="EH392" s="5"/>
      <c r="EI392" s="5"/>
    </row>
    <row r="393" spans="30:139" x14ac:dyDescent="0.2">
      <c r="AD393" s="5"/>
      <c r="AE393" s="5"/>
      <c r="AF393" s="5"/>
      <c r="AG393" s="5"/>
      <c r="ED393" s="5"/>
      <c r="EE393" s="5"/>
      <c r="EF393" s="5"/>
      <c r="EG393" s="5"/>
      <c r="EH393" s="5"/>
      <c r="EI393" s="5"/>
    </row>
    <row r="394" spans="30:139" x14ac:dyDescent="0.2">
      <c r="AD394" s="5"/>
      <c r="AE394" s="5"/>
      <c r="AF394" s="5"/>
      <c r="AG394" s="5"/>
      <c r="ED394" s="5"/>
      <c r="EE394" s="5"/>
      <c r="EF394" s="5"/>
      <c r="EG394" s="5"/>
      <c r="EH394" s="5"/>
      <c r="EI394" s="5"/>
    </row>
    <row r="395" spans="30:139" x14ac:dyDescent="0.2">
      <c r="AD395" s="5"/>
      <c r="AE395" s="5"/>
      <c r="AF395" s="5"/>
      <c r="AG395" s="5"/>
      <c r="ED395" s="5"/>
      <c r="EE395" s="5"/>
      <c r="EF395" s="5"/>
      <c r="EG395" s="5"/>
      <c r="EH395" s="5"/>
      <c r="EI395" s="5"/>
    </row>
    <row r="396" spans="30:139" x14ac:dyDescent="0.2">
      <c r="AD396" s="5"/>
      <c r="AE396" s="5"/>
      <c r="AF396" s="5"/>
      <c r="AG396" s="5"/>
      <c r="ED396" s="5"/>
      <c r="EE396" s="5"/>
      <c r="EF396" s="5"/>
      <c r="EG396" s="5"/>
      <c r="EH396" s="5"/>
      <c r="EI396" s="5"/>
    </row>
    <row r="397" spans="30:139" x14ac:dyDescent="0.2">
      <c r="AD397" s="5"/>
      <c r="AE397" s="5"/>
      <c r="AF397" s="5"/>
      <c r="AG397" s="5"/>
      <c r="ED397" s="5"/>
      <c r="EE397" s="5"/>
      <c r="EF397" s="5"/>
      <c r="EG397" s="5"/>
      <c r="EH397" s="5"/>
      <c r="EI397" s="5"/>
    </row>
    <row r="398" spans="30:139" x14ac:dyDescent="0.2">
      <c r="AD398" s="5"/>
      <c r="AE398" s="5"/>
      <c r="AF398" s="5"/>
      <c r="AG398" s="5"/>
      <c r="ED398" s="5"/>
      <c r="EE398" s="5"/>
      <c r="EF398" s="5"/>
      <c r="EG398" s="5"/>
      <c r="EH398" s="5"/>
      <c r="EI398" s="5"/>
    </row>
    <row r="399" spans="30:139" x14ac:dyDescent="0.2">
      <c r="AD399" s="5"/>
      <c r="AE399" s="5"/>
      <c r="AF399" s="5"/>
      <c r="AG399" s="5"/>
      <c r="ED399" s="5"/>
      <c r="EE399" s="5"/>
      <c r="EF399" s="5"/>
      <c r="EG399" s="5"/>
      <c r="EH399" s="5"/>
      <c r="EI399" s="5"/>
    </row>
    <row r="400" spans="30:139" x14ac:dyDescent="0.2">
      <c r="AD400" s="5"/>
      <c r="AE400" s="5"/>
      <c r="AF400" s="5"/>
      <c r="AG400" s="5"/>
      <c r="ED400" s="5"/>
      <c r="EE400" s="5"/>
      <c r="EF400" s="5"/>
      <c r="EG400" s="5"/>
      <c r="EH400" s="5"/>
      <c r="EI400" s="5"/>
    </row>
    <row r="401" spans="30:139" x14ac:dyDescent="0.2">
      <c r="AD401" s="5"/>
      <c r="AE401" s="5"/>
      <c r="AF401" s="5"/>
      <c r="AG401" s="5"/>
      <c r="ED401" s="5"/>
      <c r="EE401" s="5"/>
      <c r="EF401" s="5"/>
      <c r="EG401" s="5"/>
      <c r="EH401" s="5"/>
      <c r="EI401" s="5"/>
    </row>
    <row r="402" spans="30:139" x14ac:dyDescent="0.2">
      <c r="AD402" s="5"/>
      <c r="AE402" s="5"/>
      <c r="AF402" s="5"/>
      <c r="AG402" s="5"/>
      <c r="ED402" s="5"/>
      <c r="EE402" s="5"/>
      <c r="EF402" s="5"/>
      <c r="EG402" s="5"/>
      <c r="EH402" s="5"/>
      <c r="EI402" s="5"/>
    </row>
    <row r="403" spans="30:139" x14ac:dyDescent="0.2">
      <c r="AD403" s="5"/>
      <c r="AE403" s="5"/>
      <c r="AF403" s="5"/>
      <c r="AG403" s="5"/>
      <c r="ED403" s="5"/>
      <c r="EE403" s="5"/>
      <c r="EF403" s="5"/>
      <c r="EG403" s="5"/>
      <c r="EH403" s="5"/>
      <c r="EI403" s="5"/>
    </row>
    <row r="404" spans="30:139" x14ac:dyDescent="0.2">
      <c r="AD404" s="5"/>
      <c r="AE404" s="5"/>
      <c r="AF404" s="5"/>
      <c r="AG404" s="5"/>
      <c r="ED404" s="5"/>
      <c r="EE404" s="5"/>
      <c r="EF404" s="5"/>
      <c r="EG404" s="5"/>
      <c r="EH404" s="5"/>
      <c r="EI404" s="5"/>
    </row>
    <row r="405" spans="30:139" x14ac:dyDescent="0.2">
      <c r="AD405" s="5"/>
      <c r="AE405" s="5"/>
      <c r="AF405" s="5"/>
      <c r="AG405" s="5"/>
      <c r="ED405" s="5"/>
      <c r="EE405" s="5"/>
      <c r="EF405" s="5"/>
      <c r="EG405" s="5"/>
      <c r="EH405" s="5"/>
      <c r="EI405" s="5"/>
    </row>
    <row r="406" spans="30:139" x14ac:dyDescent="0.2">
      <c r="AD406" s="5"/>
      <c r="AE406" s="5"/>
      <c r="AF406" s="5"/>
      <c r="AG406" s="5"/>
      <c r="ED406" s="5"/>
      <c r="EE406" s="5"/>
      <c r="EF406" s="5"/>
      <c r="EG406" s="5"/>
      <c r="EH406" s="5"/>
      <c r="EI406" s="5"/>
    </row>
    <row r="407" spans="30:139" x14ac:dyDescent="0.2">
      <c r="AD407" s="5"/>
      <c r="AE407" s="5"/>
      <c r="AF407" s="5"/>
      <c r="AG407" s="5"/>
      <c r="ED407" s="5"/>
      <c r="EE407" s="5"/>
      <c r="EF407" s="5"/>
      <c r="EG407" s="5"/>
      <c r="EH407" s="5"/>
      <c r="EI407" s="5"/>
    </row>
    <row r="408" spans="30:139" x14ac:dyDescent="0.2">
      <c r="AD408" s="5"/>
      <c r="AE408" s="5"/>
      <c r="AF408" s="5"/>
      <c r="AG408" s="5"/>
      <c r="ED408" s="5"/>
      <c r="EE408" s="5"/>
      <c r="EF408" s="5"/>
      <c r="EG408" s="5"/>
      <c r="EH408" s="5"/>
      <c r="EI408" s="5"/>
    </row>
    <row r="409" spans="30:139" x14ac:dyDescent="0.2">
      <c r="AD409" s="5"/>
      <c r="AE409" s="5"/>
      <c r="AF409" s="5"/>
      <c r="AG409" s="5"/>
      <c r="ED409" s="5"/>
      <c r="EE409" s="5"/>
      <c r="EF409" s="5"/>
      <c r="EG409" s="5"/>
      <c r="EH409" s="5"/>
      <c r="EI409" s="5"/>
    </row>
    <row r="410" spans="30:139" x14ac:dyDescent="0.2">
      <c r="AD410" s="5"/>
      <c r="AE410" s="5"/>
      <c r="AF410" s="5"/>
      <c r="AG410" s="5"/>
      <c r="ED410" s="5"/>
      <c r="EE410" s="5"/>
      <c r="EF410" s="5"/>
      <c r="EG410" s="5"/>
      <c r="EH410" s="5"/>
      <c r="EI410" s="5"/>
    </row>
    <row r="411" spans="30:139" x14ac:dyDescent="0.2">
      <c r="AD411" s="5"/>
      <c r="AE411" s="5"/>
      <c r="AF411" s="5"/>
      <c r="AG411" s="5"/>
      <c r="ED411" s="5"/>
      <c r="EE411" s="5"/>
      <c r="EF411" s="5"/>
      <c r="EG411" s="5"/>
      <c r="EH411" s="5"/>
      <c r="EI411" s="5"/>
    </row>
    <row r="412" spans="30:139" x14ac:dyDescent="0.2">
      <c r="AD412" s="5"/>
      <c r="AE412" s="5"/>
      <c r="AF412" s="5"/>
      <c r="AG412" s="5"/>
      <c r="ED412" s="5"/>
      <c r="EE412" s="5"/>
      <c r="EF412" s="5"/>
      <c r="EG412" s="5"/>
      <c r="EH412" s="5"/>
      <c r="EI412" s="5"/>
    </row>
    <row r="413" spans="30:139" x14ac:dyDescent="0.2">
      <c r="AD413" s="5"/>
      <c r="AE413" s="5"/>
      <c r="AF413" s="5"/>
      <c r="AG413" s="5"/>
      <c r="ED413" s="5"/>
      <c r="EE413" s="5"/>
      <c r="EF413" s="5"/>
      <c r="EG413" s="5"/>
      <c r="EH413" s="5"/>
      <c r="EI413" s="5"/>
    </row>
    <row r="414" spans="30:139" x14ac:dyDescent="0.2">
      <c r="AD414" s="5"/>
      <c r="AE414" s="5"/>
      <c r="AF414" s="5"/>
      <c r="AG414" s="5"/>
      <c r="ED414" s="5"/>
      <c r="EE414" s="5"/>
      <c r="EF414" s="5"/>
      <c r="EG414" s="5"/>
      <c r="EH414" s="5"/>
      <c r="EI414" s="5"/>
    </row>
    <row r="415" spans="30:139" x14ac:dyDescent="0.2">
      <c r="AD415" s="5"/>
      <c r="AE415" s="5"/>
      <c r="AF415" s="5"/>
      <c r="AG415" s="5"/>
      <c r="ED415" s="5"/>
      <c r="EE415" s="5"/>
      <c r="EF415" s="5"/>
      <c r="EG415" s="5"/>
      <c r="EH415" s="5"/>
      <c r="EI415" s="5"/>
    </row>
    <row r="416" spans="30:139" x14ac:dyDescent="0.2">
      <c r="AD416" s="5"/>
      <c r="AE416" s="5"/>
      <c r="AF416" s="5"/>
      <c r="AG416" s="5"/>
      <c r="ED416" s="5"/>
      <c r="EE416" s="5"/>
      <c r="EF416" s="5"/>
      <c r="EG416" s="5"/>
      <c r="EH416" s="5"/>
      <c r="EI416" s="5"/>
    </row>
    <row r="417" spans="30:139" x14ac:dyDescent="0.2">
      <c r="AD417" s="5"/>
      <c r="AE417" s="5"/>
      <c r="AF417" s="5"/>
      <c r="AG417" s="5"/>
      <c r="ED417" s="5"/>
      <c r="EE417" s="5"/>
      <c r="EF417" s="5"/>
      <c r="EG417" s="5"/>
      <c r="EH417" s="5"/>
      <c r="EI417" s="5"/>
    </row>
    <row r="418" spans="30:139" x14ac:dyDescent="0.2">
      <c r="AD418" s="5"/>
      <c r="AE418" s="5"/>
      <c r="AF418" s="5"/>
      <c r="AG418" s="5"/>
      <c r="ED418" s="5"/>
      <c r="EE418" s="5"/>
      <c r="EF418" s="5"/>
      <c r="EG418" s="5"/>
      <c r="EH418" s="5"/>
      <c r="EI418" s="5"/>
    </row>
    <row r="419" spans="30:139" x14ac:dyDescent="0.2">
      <c r="AD419" s="5"/>
      <c r="AE419" s="5"/>
      <c r="AF419" s="5"/>
      <c r="AG419" s="5"/>
      <c r="ED419" s="5"/>
      <c r="EE419" s="5"/>
      <c r="EF419" s="5"/>
      <c r="EG419" s="5"/>
      <c r="EH419" s="5"/>
      <c r="EI419" s="5"/>
    </row>
    <row r="420" spans="30:139" x14ac:dyDescent="0.2">
      <c r="AD420" s="5"/>
      <c r="AE420" s="5"/>
      <c r="AF420" s="5"/>
      <c r="AG420" s="5"/>
      <c r="ED420" s="5"/>
      <c r="EE420" s="5"/>
      <c r="EF420" s="5"/>
      <c r="EG420" s="5"/>
      <c r="EH420" s="5"/>
      <c r="EI420" s="5"/>
    </row>
    <row r="421" spans="30:139" x14ac:dyDescent="0.2">
      <c r="AD421" s="5"/>
      <c r="AE421" s="5"/>
      <c r="AF421" s="5"/>
      <c r="AG421" s="5"/>
      <c r="ED421" s="5"/>
      <c r="EE421" s="5"/>
      <c r="EF421" s="5"/>
      <c r="EG421" s="5"/>
      <c r="EH421" s="5"/>
      <c r="EI421" s="5"/>
    </row>
    <row r="422" spans="30:139" x14ac:dyDescent="0.2">
      <c r="AD422" s="5"/>
      <c r="AE422" s="5"/>
      <c r="AF422" s="5"/>
      <c r="AG422" s="5"/>
      <c r="ED422" s="5"/>
      <c r="EE422" s="5"/>
      <c r="EF422" s="5"/>
      <c r="EG422" s="5"/>
      <c r="EH422" s="5"/>
      <c r="EI422" s="5"/>
    </row>
    <row r="423" spans="30:139" x14ac:dyDescent="0.2">
      <c r="AD423" s="5"/>
      <c r="AE423" s="5"/>
      <c r="AF423" s="5"/>
      <c r="AG423" s="5"/>
      <c r="ED423" s="5"/>
      <c r="EE423" s="5"/>
      <c r="EF423" s="5"/>
      <c r="EG423" s="5"/>
      <c r="EH423" s="5"/>
      <c r="EI423" s="5"/>
    </row>
    <row r="424" spans="30:139" x14ac:dyDescent="0.2">
      <c r="AD424" s="5"/>
      <c r="AE424" s="5"/>
      <c r="AF424" s="5"/>
      <c r="AG424" s="5"/>
      <c r="ED424" s="5"/>
      <c r="EE424" s="5"/>
      <c r="EF424" s="5"/>
      <c r="EG424" s="5"/>
      <c r="EH424" s="5"/>
      <c r="EI424" s="5"/>
    </row>
    <row r="425" spans="30:139" x14ac:dyDescent="0.2">
      <c r="AD425" s="5"/>
      <c r="AE425" s="5"/>
      <c r="AF425" s="5"/>
      <c r="AG425" s="5"/>
      <c r="ED425" s="5"/>
      <c r="EE425" s="5"/>
      <c r="EF425" s="5"/>
      <c r="EG425" s="5"/>
      <c r="EH425" s="5"/>
      <c r="EI425" s="5"/>
    </row>
    <row r="426" spans="30:139" x14ac:dyDescent="0.2">
      <c r="AD426" s="5"/>
      <c r="AE426" s="5"/>
      <c r="AF426" s="5"/>
      <c r="AG426" s="5"/>
      <c r="ED426" s="5"/>
      <c r="EE426" s="5"/>
      <c r="EF426" s="5"/>
      <c r="EG426" s="5"/>
      <c r="EH426" s="5"/>
      <c r="EI426" s="5"/>
    </row>
    <row r="427" spans="30:139" x14ac:dyDescent="0.2">
      <c r="AD427" s="5"/>
      <c r="AE427" s="5"/>
      <c r="AF427" s="5"/>
      <c r="AG427" s="5"/>
      <c r="ED427" s="5"/>
      <c r="EE427" s="5"/>
      <c r="EF427" s="5"/>
      <c r="EG427" s="5"/>
      <c r="EH427" s="5"/>
      <c r="EI427" s="5"/>
    </row>
    <row r="428" spans="30:139" x14ac:dyDescent="0.2">
      <c r="AD428" s="5"/>
      <c r="AE428" s="5"/>
      <c r="AF428" s="5"/>
      <c r="AG428" s="5"/>
      <c r="ED428" s="5"/>
      <c r="EE428" s="5"/>
      <c r="EF428" s="5"/>
      <c r="EG428" s="5"/>
      <c r="EH428" s="5"/>
      <c r="EI428" s="5"/>
    </row>
    <row r="429" spans="30:139" x14ac:dyDescent="0.2">
      <c r="AD429" s="5"/>
      <c r="AE429" s="5"/>
      <c r="AF429" s="5"/>
      <c r="AG429" s="5"/>
      <c r="ED429" s="5"/>
      <c r="EE429" s="5"/>
      <c r="EF429" s="5"/>
      <c r="EG429" s="5"/>
      <c r="EH429" s="5"/>
      <c r="EI429" s="5"/>
    </row>
    <row r="430" spans="30:139" x14ac:dyDescent="0.2">
      <c r="AD430" s="5"/>
      <c r="AE430" s="5"/>
      <c r="AF430" s="5"/>
      <c r="AG430" s="5"/>
      <c r="ED430" s="5"/>
      <c r="EE430" s="5"/>
      <c r="EF430" s="5"/>
      <c r="EG430" s="5"/>
      <c r="EH430" s="5"/>
      <c r="EI430" s="5"/>
    </row>
    <row r="431" spans="30:139" x14ac:dyDescent="0.2">
      <c r="AD431" s="5"/>
      <c r="AE431" s="5"/>
      <c r="AF431" s="5"/>
      <c r="AG431" s="5"/>
      <c r="ED431" s="5"/>
      <c r="EE431" s="5"/>
      <c r="EF431" s="5"/>
      <c r="EG431" s="5"/>
      <c r="EH431" s="5"/>
      <c r="EI431" s="5"/>
    </row>
    <row r="432" spans="30:139" x14ac:dyDescent="0.2">
      <c r="AD432" s="5"/>
      <c r="AE432" s="5"/>
      <c r="AF432" s="5"/>
      <c r="AG432" s="5"/>
      <c r="ED432" s="5"/>
      <c r="EE432" s="5"/>
      <c r="EF432" s="5"/>
      <c r="EG432" s="5"/>
      <c r="EH432" s="5"/>
      <c r="EI432" s="5"/>
    </row>
    <row r="433" spans="30:139" x14ac:dyDescent="0.2">
      <c r="AD433" s="5"/>
      <c r="AE433" s="5"/>
      <c r="AF433" s="5"/>
      <c r="AG433" s="5"/>
      <c r="ED433" s="5"/>
      <c r="EE433" s="5"/>
      <c r="EF433" s="5"/>
      <c r="EG433" s="5"/>
      <c r="EH433" s="5"/>
      <c r="EI433" s="5"/>
    </row>
    <row r="434" spans="30:139" x14ac:dyDescent="0.2">
      <c r="AD434" s="5"/>
      <c r="AE434" s="5"/>
      <c r="AF434" s="5"/>
      <c r="AG434" s="5"/>
      <c r="ED434" s="5"/>
      <c r="EE434" s="5"/>
      <c r="EF434" s="5"/>
      <c r="EG434" s="5"/>
      <c r="EH434" s="5"/>
      <c r="EI434" s="5"/>
    </row>
    <row r="435" spans="30:139" x14ac:dyDescent="0.2">
      <c r="AD435" s="5"/>
      <c r="AE435" s="5"/>
      <c r="AF435" s="5"/>
      <c r="AG435" s="5"/>
      <c r="ED435" s="5"/>
      <c r="EE435" s="5"/>
      <c r="EF435" s="5"/>
      <c r="EG435" s="5"/>
      <c r="EH435" s="5"/>
      <c r="EI435" s="5"/>
    </row>
    <row r="436" spans="30:139" x14ac:dyDescent="0.2">
      <c r="AD436" s="5"/>
      <c r="AE436" s="5"/>
      <c r="AF436" s="5"/>
      <c r="AG436" s="5"/>
      <c r="ED436" s="5"/>
      <c r="EE436" s="5"/>
      <c r="EF436" s="5"/>
      <c r="EG436" s="5"/>
      <c r="EH436" s="5"/>
      <c r="EI436" s="5"/>
    </row>
    <row r="437" spans="30:139" x14ac:dyDescent="0.2">
      <c r="AD437" s="5"/>
      <c r="AE437" s="5"/>
      <c r="AF437" s="5"/>
      <c r="AG437" s="5"/>
      <c r="ED437" s="5"/>
      <c r="EE437" s="5"/>
      <c r="EF437" s="5"/>
      <c r="EG437" s="5"/>
      <c r="EH437" s="5"/>
      <c r="EI437" s="5"/>
    </row>
    <row r="438" spans="30:139" x14ac:dyDescent="0.2">
      <c r="AD438" s="5"/>
      <c r="AE438" s="5"/>
      <c r="AF438" s="5"/>
      <c r="AG438" s="5"/>
      <c r="ED438" s="5"/>
      <c r="EE438" s="5"/>
      <c r="EF438" s="5"/>
      <c r="EG438" s="5"/>
      <c r="EH438" s="5"/>
      <c r="EI438" s="5"/>
    </row>
    <row r="439" spans="30:139" x14ac:dyDescent="0.2">
      <c r="AD439" s="5"/>
      <c r="AE439" s="5"/>
      <c r="AF439" s="5"/>
      <c r="AG439" s="5"/>
      <c r="ED439" s="5"/>
      <c r="EE439" s="5"/>
      <c r="EF439" s="5"/>
      <c r="EG439" s="5"/>
      <c r="EH439" s="5"/>
      <c r="EI439" s="5"/>
    </row>
    <row r="440" spans="30:139" x14ac:dyDescent="0.2">
      <c r="AD440" s="5"/>
      <c r="AE440" s="5"/>
      <c r="AF440" s="5"/>
      <c r="AG440" s="5"/>
      <c r="ED440" s="5"/>
      <c r="EE440" s="5"/>
      <c r="EF440" s="5"/>
      <c r="EG440" s="5"/>
      <c r="EH440" s="5"/>
      <c r="EI440" s="5"/>
    </row>
    <row r="441" spans="30:139" x14ac:dyDescent="0.2">
      <c r="AD441" s="5"/>
      <c r="AE441" s="5"/>
      <c r="AF441" s="5"/>
      <c r="AG441" s="5"/>
      <c r="ED441" s="5"/>
      <c r="EE441" s="5"/>
      <c r="EF441" s="5"/>
      <c r="EG441" s="5"/>
      <c r="EH441" s="5"/>
      <c r="EI441" s="5"/>
    </row>
    <row r="442" spans="30:139" x14ac:dyDescent="0.2">
      <c r="AD442" s="5"/>
      <c r="AE442" s="5"/>
      <c r="AF442" s="5"/>
      <c r="AG442" s="5"/>
      <c r="ED442" s="5"/>
      <c r="EE442" s="5"/>
      <c r="EF442" s="5"/>
      <c r="EG442" s="5"/>
      <c r="EH442" s="5"/>
      <c r="EI442" s="5"/>
    </row>
    <row r="443" spans="30:139" x14ac:dyDescent="0.2">
      <c r="AD443" s="5"/>
      <c r="AE443" s="5"/>
      <c r="AF443" s="5"/>
      <c r="AG443" s="5"/>
      <c r="ED443" s="5"/>
      <c r="EE443" s="5"/>
      <c r="EF443" s="5"/>
      <c r="EG443" s="5"/>
      <c r="EH443" s="5"/>
      <c r="EI443" s="5"/>
    </row>
    <row r="444" spans="30:139" x14ac:dyDescent="0.2">
      <c r="AD444" s="5"/>
      <c r="AE444" s="5"/>
      <c r="AF444" s="5"/>
      <c r="AG444" s="5"/>
      <c r="ED444" s="5"/>
      <c r="EE444" s="5"/>
      <c r="EF444" s="5"/>
      <c r="EG444" s="5"/>
      <c r="EH444" s="5"/>
      <c r="EI444" s="5"/>
    </row>
    <row r="445" spans="30:139" x14ac:dyDescent="0.2">
      <c r="AD445" s="5"/>
      <c r="AE445" s="5"/>
      <c r="AF445" s="5"/>
      <c r="AG445" s="5"/>
      <c r="ED445" s="5"/>
      <c r="EE445" s="5"/>
      <c r="EF445" s="5"/>
      <c r="EG445" s="5"/>
      <c r="EH445" s="5"/>
      <c r="EI445" s="5"/>
    </row>
    <row r="446" spans="30:139" x14ac:dyDescent="0.2">
      <c r="AD446" s="5"/>
      <c r="AE446" s="5"/>
      <c r="AF446" s="5"/>
      <c r="AG446" s="5"/>
      <c r="ED446" s="5"/>
      <c r="EE446" s="5"/>
      <c r="EF446" s="5"/>
      <c r="EG446" s="5"/>
      <c r="EH446" s="5"/>
      <c r="EI446" s="5"/>
    </row>
    <row r="447" spans="30:139" x14ac:dyDescent="0.2">
      <c r="AD447" s="5"/>
      <c r="AE447" s="5"/>
      <c r="AF447" s="5"/>
      <c r="AG447" s="5"/>
      <c r="ED447" s="5"/>
      <c r="EE447" s="5"/>
      <c r="EF447" s="5"/>
      <c r="EG447" s="5"/>
      <c r="EH447" s="5"/>
      <c r="EI447" s="5"/>
    </row>
    <row r="448" spans="30:139" x14ac:dyDescent="0.2">
      <c r="AD448" s="5"/>
      <c r="AE448" s="5"/>
      <c r="AF448" s="5"/>
      <c r="AG448" s="5"/>
      <c r="ED448" s="5"/>
      <c r="EE448" s="5"/>
      <c r="EF448" s="5"/>
      <c r="EG448" s="5"/>
      <c r="EH448" s="5"/>
      <c r="EI448" s="5"/>
    </row>
    <row r="449" spans="30:139" x14ac:dyDescent="0.2">
      <c r="AD449" s="5"/>
      <c r="AE449" s="5"/>
      <c r="AF449" s="5"/>
      <c r="AG449" s="5"/>
      <c r="ED449" s="5"/>
      <c r="EE449" s="5"/>
      <c r="EF449" s="5"/>
      <c r="EG449" s="5"/>
      <c r="EH449" s="5"/>
      <c r="EI449" s="5"/>
    </row>
    <row r="450" spans="30:139" x14ac:dyDescent="0.2">
      <c r="AD450" s="5"/>
      <c r="AE450" s="5"/>
      <c r="AF450" s="5"/>
      <c r="AG450" s="5"/>
      <c r="ED450" s="5"/>
      <c r="EE450" s="5"/>
      <c r="EF450" s="5"/>
      <c r="EG450" s="5"/>
      <c r="EH450" s="5"/>
      <c r="EI450" s="5"/>
    </row>
    <row r="451" spans="30:139" x14ac:dyDescent="0.2">
      <c r="AD451" s="5"/>
      <c r="AE451" s="5"/>
      <c r="AF451" s="5"/>
      <c r="AG451" s="5"/>
      <c r="ED451" s="5"/>
      <c r="EE451" s="5"/>
      <c r="EF451" s="5"/>
      <c r="EG451" s="5"/>
      <c r="EH451" s="5"/>
      <c r="EI451" s="5"/>
    </row>
    <row r="452" spans="30:139" x14ac:dyDescent="0.2">
      <c r="AD452" s="5"/>
      <c r="AE452" s="5"/>
      <c r="AF452" s="5"/>
      <c r="AG452" s="5"/>
      <c r="ED452" s="5"/>
      <c r="EE452" s="5"/>
      <c r="EF452" s="5"/>
      <c r="EG452" s="5"/>
      <c r="EH452" s="5"/>
      <c r="EI452" s="5"/>
    </row>
    <row r="453" spans="30:139" x14ac:dyDescent="0.2">
      <c r="AD453" s="5"/>
      <c r="AE453" s="5"/>
      <c r="AF453" s="5"/>
      <c r="AG453" s="5"/>
      <c r="ED453" s="5"/>
      <c r="EE453" s="5"/>
      <c r="EF453" s="5"/>
      <c r="EG453" s="5"/>
      <c r="EH453" s="5"/>
      <c r="EI453" s="5"/>
    </row>
    <row r="454" spans="30:139" x14ac:dyDescent="0.2">
      <c r="AD454" s="5"/>
      <c r="AE454" s="5"/>
      <c r="AF454" s="5"/>
      <c r="AG454" s="5"/>
      <c r="ED454" s="5"/>
      <c r="EE454" s="5"/>
      <c r="EF454" s="5"/>
      <c r="EG454" s="5"/>
      <c r="EH454" s="5"/>
      <c r="EI454" s="5"/>
    </row>
    <row r="455" spans="30:139" x14ac:dyDescent="0.2">
      <c r="AD455" s="5"/>
      <c r="AE455" s="5"/>
      <c r="AF455" s="5"/>
      <c r="AG455" s="5"/>
      <c r="ED455" s="5"/>
      <c r="EE455" s="5"/>
      <c r="EF455" s="5"/>
      <c r="EG455" s="5"/>
      <c r="EH455" s="5"/>
      <c r="EI455" s="5"/>
    </row>
    <row r="456" spans="30:139" x14ac:dyDescent="0.2">
      <c r="AD456" s="5"/>
      <c r="AE456" s="5"/>
      <c r="AF456" s="5"/>
      <c r="AG456" s="5"/>
      <c r="ED456" s="5"/>
      <c r="EE456" s="5"/>
      <c r="EF456" s="5"/>
      <c r="EG456" s="5"/>
      <c r="EH456" s="5"/>
      <c r="EI456" s="5"/>
    </row>
    <row r="457" spans="30:139" x14ac:dyDescent="0.2">
      <c r="AD457" s="5"/>
      <c r="AE457" s="5"/>
      <c r="AF457" s="5"/>
      <c r="AG457" s="5"/>
      <c r="ED457" s="5"/>
      <c r="EE457" s="5"/>
      <c r="EF457" s="5"/>
      <c r="EG457" s="5"/>
      <c r="EH457" s="5"/>
      <c r="EI457" s="5"/>
    </row>
    <row r="458" spans="30:139" x14ac:dyDescent="0.2">
      <c r="AD458" s="5"/>
      <c r="AE458" s="5"/>
      <c r="AF458" s="5"/>
      <c r="AG458" s="5"/>
      <c r="ED458" s="5"/>
      <c r="EE458" s="5"/>
      <c r="EF458" s="5"/>
      <c r="EG458" s="5"/>
      <c r="EH458" s="5"/>
      <c r="EI458" s="5"/>
    </row>
    <row r="459" spans="30:139" x14ac:dyDescent="0.2">
      <c r="AD459" s="5"/>
      <c r="AE459" s="5"/>
      <c r="AF459" s="5"/>
      <c r="AG459" s="5"/>
      <c r="ED459" s="5"/>
      <c r="EE459" s="5"/>
      <c r="EF459" s="5"/>
      <c r="EG459" s="5"/>
      <c r="EH459" s="5"/>
      <c r="EI459" s="5"/>
    </row>
    <row r="460" spans="30:139" x14ac:dyDescent="0.2">
      <c r="AD460" s="5"/>
      <c r="AE460" s="5"/>
      <c r="AF460" s="5"/>
      <c r="AG460" s="5"/>
      <c r="ED460" s="5"/>
      <c r="EE460" s="5"/>
      <c r="EF460" s="5"/>
      <c r="EG460" s="5"/>
      <c r="EH460" s="5"/>
      <c r="EI460" s="5"/>
    </row>
    <row r="461" spans="30:139" x14ac:dyDescent="0.2">
      <c r="AD461" s="5"/>
      <c r="AE461" s="5"/>
      <c r="AF461" s="5"/>
      <c r="AG461" s="5"/>
      <c r="ED461" s="5"/>
      <c r="EE461" s="5"/>
      <c r="EF461" s="5"/>
      <c r="EG461" s="5"/>
      <c r="EH461" s="5"/>
      <c r="EI461" s="5"/>
    </row>
    <row r="462" spans="30:139" x14ac:dyDescent="0.2">
      <c r="AD462" s="5"/>
      <c r="AE462" s="5"/>
      <c r="AF462" s="5"/>
      <c r="AG462" s="5"/>
      <c r="ED462" s="5"/>
      <c r="EE462" s="5"/>
      <c r="EF462" s="5"/>
      <c r="EG462" s="5"/>
      <c r="EH462" s="5"/>
      <c r="EI462" s="5"/>
    </row>
    <row r="463" spans="30:139" x14ac:dyDescent="0.2">
      <c r="AD463" s="5"/>
      <c r="AE463" s="5"/>
      <c r="AF463" s="5"/>
      <c r="AG463" s="5"/>
      <c r="ED463" s="5"/>
      <c r="EE463" s="5"/>
      <c r="EF463" s="5"/>
      <c r="EG463" s="5"/>
      <c r="EH463" s="5"/>
      <c r="EI463" s="5"/>
    </row>
    <row r="464" spans="30:139" x14ac:dyDescent="0.2">
      <c r="AD464" s="5"/>
      <c r="AE464" s="5"/>
      <c r="AF464" s="5"/>
      <c r="AG464" s="5"/>
      <c r="ED464" s="5"/>
      <c r="EE464" s="5"/>
      <c r="EF464" s="5"/>
      <c r="EG464" s="5"/>
      <c r="EH464" s="5"/>
      <c r="EI464" s="5"/>
    </row>
    <row r="465" spans="30:139" x14ac:dyDescent="0.2">
      <c r="AD465" s="5"/>
      <c r="AE465" s="5"/>
      <c r="AF465" s="5"/>
      <c r="AG465" s="5"/>
      <c r="ED465" s="5"/>
      <c r="EE465" s="5"/>
      <c r="EF465" s="5"/>
      <c r="EG465" s="5"/>
      <c r="EH465" s="5"/>
      <c r="EI465" s="5"/>
    </row>
    <row r="466" spans="30:139" x14ac:dyDescent="0.2">
      <c r="AD466" s="5"/>
      <c r="AE466" s="5"/>
      <c r="AF466" s="5"/>
      <c r="AG466" s="5"/>
      <c r="ED466" s="5"/>
      <c r="EE466" s="5"/>
      <c r="EF466" s="5"/>
      <c r="EG466" s="5"/>
      <c r="EH466" s="5"/>
      <c r="EI466" s="5"/>
    </row>
    <row r="467" spans="30:139" x14ac:dyDescent="0.2">
      <c r="AD467" s="5"/>
      <c r="AE467" s="5"/>
      <c r="AF467" s="5"/>
      <c r="AG467" s="5"/>
      <c r="ED467" s="5"/>
      <c r="EE467" s="5"/>
      <c r="EF467" s="5"/>
      <c r="EG467" s="5"/>
      <c r="EH467" s="5"/>
      <c r="EI467" s="5"/>
    </row>
    <row r="468" spans="30:139" x14ac:dyDescent="0.2">
      <c r="AD468" s="5"/>
      <c r="AE468" s="5"/>
      <c r="AF468" s="5"/>
      <c r="AG468" s="5"/>
      <c r="ED468" s="5"/>
      <c r="EE468" s="5"/>
      <c r="EF468" s="5"/>
      <c r="EG468" s="5"/>
      <c r="EH468" s="5"/>
      <c r="EI468" s="5"/>
    </row>
    <row r="469" spans="30:139" x14ac:dyDescent="0.2">
      <c r="AD469" s="5"/>
      <c r="AE469" s="5"/>
      <c r="AF469" s="5"/>
      <c r="AG469" s="5"/>
      <c r="ED469" s="5"/>
      <c r="EE469" s="5"/>
      <c r="EF469" s="5"/>
      <c r="EG469" s="5"/>
      <c r="EH469" s="5"/>
      <c r="EI469" s="5"/>
    </row>
    <row r="470" spans="30:139" x14ac:dyDescent="0.2">
      <c r="AD470" s="5"/>
      <c r="AE470" s="5"/>
      <c r="AF470" s="5"/>
      <c r="AG470" s="5"/>
      <c r="ED470" s="5"/>
      <c r="EE470" s="5"/>
      <c r="EF470" s="5"/>
      <c r="EG470" s="5"/>
      <c r="EH470" s="5"/>
      <c r="EI470" s="5"/>
    </row>
    <row r="471" spans="30:139" x14ac:dyDescent="0.2">
      <c r="AD471" s="5"/>
      <c r="AE471" s="5"/>
      <c r="AF471" s="5"/>
      <c r="AG471" s="5"/>
      <c r="ED471" s="5"/>
      <c r="EE471" s="5"/>
      <c r="EF471" s="5"/>
      <c r="EG471" s="5"/>
      <c r="EH471" s="5"/>
      <c r="EI471" s="5"/>
    </row>
    <row r="472" spans="30:139" x14ac:dyDescent="0.2">
      <c r="AD472" s="5"/>
      <c r="AE472" s="5"/>
      <c r="AF472" s="5"/>
      <c r="AG472" s="5"/>
      <c r="ED472" s="5"/>
      <c r="EE472" s="5"/>
      <c r="EF472" s="5"/>
      <c r="EG472" s="5"/>
      <c r="EH472" s="5"/>
      <c r="EI472" s="5"/>
    </row>
    <row r="473" spans="30:139" x14ac:dyDescent="0.2">
      <c r="AD473" s="5"/>
      <c r="AE473" s="5"/>
      <c r="AF473" s="5"/>
      <c r="AG473" s="5"/>
      <c r="ED473" s="5"/>
      <c r="EE473" s="5"/>
      <c r="EF473" s="5"/>
      <c r="EG473" s="5"/>
      <c r="EH473" s="5"/>
      <c r="EI473" s="5"/>
    </row>
    <row r="474" spans="30:139" x14ac:dyDescent="0.2">
      <c r="AD474" s="5"/>
      <c r="AE474" s="5"/>
      <c r="AF474" s="5"/>
      <c r="AG474" s="5"/>
      <c r="ED474" s="5"/>
      <c r="EE474" s="5"/>
      <c r="EF474" s="5"/>
      <c r="EG474" s="5"/>
      <c r="EH474" s="5"/>
      <c r="EI474" s="5"/>
    </row>
    <row r="475" spans="30:139" x14ac:dyDescent="0.2">
      <c r="AD475" s="5"/>
      <c r="AE475" s="5"/>
      <c r="AF475" s="5"/>
      <c r="AG475" s="5"/>
      <c r="ED475" s="5"/>
      <c r="EE475" s="5"/>
      <c r="EF475" s="5"/>
      <c r="EG475" s="5"/>
      <c r="EH475" s="5"/>
      <c r="EI475" s="5"/>
    </row>
    <row r="476" spans="30:139" x14ac:dyDescent="0.2">
      <c r="AD476" s="5"/>
      <c r="AE476" s="5"/>
      <c r="AF476" s="5"/>
      <c r="AG476" s="5"/>
      <c r="ED476" s="5"/>
      <c r="EE476" s="5"/>
      <c r="EF476" s="5"/>
      <c r="EG476" s="5"/>
      <c r="EH476" s="5"/>
      <c r="EI476" s="5"/>
    </row>
    <row r="477" spans="30:139" x14ac:dyDescent="0.2">
      <c r="AD477" s="5"/>
      <c r="AE477" s="5"/>
      <c r="AF477" s="5"/>
      <c r="AG477" s="5"/>
      <c r="ED477" s="5"/>
      <c r="EE477" s="5"/>
      <c r="EF477" s="5"/>
      <c r="EG477" s="5"/>
      <c r="EH477" s="5"/>
      <c r="EI477" s="5"/>
    </row>
    <row r="478" spans="30:139" x14ac:dyDescent="0.2">
      <c r="AD478" s="5"/>
      <c r="AE478" s="5"/>
      <c r="AF478" s="5"/>
      <c r="AG478" s="5"/>
      <c r="ED478" s="5"/>
      <c r="EE478" s="5"/>
      <c r="EF478" s="5"/>
      <c r="EG478" s="5"/>
      <c r="EH478" s="5"/>
      <c r="EI478" s="5"/>
    </row>
    <row r="479" spans="30:139" x14ac:dyDescent="0.2">
      <c r="AD479" s="5"/>
      <c r="AE479" s="5"/>
      <c r="AF479" s="5"/>
      <c r="AG479" s="5"/>
      <c r="ED479" s="5"/>
      <c r="EE479" s="5"/>
      <c r="EF479" s="5"/>
      <c r="EG479" s="5"/>
      <c r="EH479" s="5"/>
      <c r="EI479" s="5"/>
    </row>
    <row r="480" spans="30:139" x14ac:dyDescent="0.2">
      <c r="AD480" s="5"/>
      <c r="AE480" s="5"/>
      <c r="AF480" s="5"/>
      <c r="AG480" s="5"/>
      <c r="ED480" s="5"/>
      <c r="EE480" s="5"/>
      <c r="EF480" s="5"/>
      <c r="EG480" s="5"/>
      <c r="EH480" s="5"/>
      <c r="EI480" s="5"/>
    </row>
    <row r="481" spans="30:139" x14ac:dyDescent="0.2">
      <c r="AD481" s="5"/>
      <c r="AE481" s="5"/>
      <c r="AF481" s="5"/>
      <c r="AG481" s="5"/>
      <c r="ED481" s="5"/>
      <c r="EE481" s="5"/>
      <c r="EF481" s="5"/>
      <c r="EG481" s="5"/>
      <c r="EH481" s="5"/>
      <c r="EI481" s="5"/>
    </row>
    <row r="482" spans="30:139" x14ac:dyDescent="0.2">
      <c r="AD482" s="5"/>
      <c r="AE482" s="5"/>
      <c r="AF482" s="5"/>
      <c r="AG482" s="5"/>
      <c r="ED482" s="5"/>
      <c r="EE482" s="5"/>
      <c r="EF482" s="5"/>
      <c r="EG482" s="5"/>
      <c r="EH482" s="5"/>
      <c r="EI482" s="5"/>
    </row>
    <row r="483" spans="30:139" x14ac:dyDescent="0.2">
      <c r="AD483" s="5"/>
      <c r="AE483" s="5"/>
      <c r="AF483" s="5"/>
      <c r="AG483" s="5"/>
      <c r="ED483" s="5"/>
      <c r="EE483" s="5"/>
      <c r="EF483" s="5"/>
      <c r="EG483" s="5"/>
      <c r="EH483" s="5"/>
      <c r="EI483" s="5"/>
    </row>
    <row r="484" spans="30:139" x14ac:dyDescent="0.2">
      <c r="AD484" s="5"/>
      <c r="AE484" s="5"/>
      <c r="AF484" s="5"/>
      <c r="AG484" s="5"/>
      <c r="ED484" s="5"/>
      <c r="EE484" s="5"/>
      <c r="EF484" s="5"/>
      <c r="EG484" s="5"/>
      <c r="EH484" s="5"/>
      <c r="EI484" s="5"/>
    </row>
    <row r="485" spans="30:139" x14ac:dyDescent="0.2">
      <c r="AD485" s="5"/>
      <c r="AE485" s="5"/>
      <c r="AF485" s="5"/>
      <c r="AG485" s="5"/>
      <c r="ED485" s="5"/>
      <c r="EE485" s="5"/>
      <c r="EF485" s="5"/>
      <c r="EG485" s="5"/>
      <c r="EH485" s="5"/>
      <c r="EI485" s="5"/>
    </row>
    <row r="486" spans="30:139" x14ac:dyDescent="0.2">
      <c r="AD486" s="5"/>
      <c r="AE486" s="5"/>
      <c r="AF486" s="5"/>
      <c r="AG486" s="5"/>
      <c r="ED486" s="5"/>
      <c r="EE486" s="5"/>
      <c r="EF486" s="5"/>
      <c r="EG486" s="5"/>
      <c r="EH486" s="5"/>
      <c r="EI486" s="5"/>
    </row>
    <row r="487" spans="30:139" x14ac:dyDescent="0.2">
      <c r="AD487" s="5"/>
      <c r="AE487" s="5"/>
      <c r="AF487" s="5"/>
      <c r="AG487" s="5"/>
      <c r="ED487" s="5"/>
      <c r="EE487" s="5"/>
      <c r="EF487" s="5"/>
      <c r="EG487" s="5"/>
      <c r="EH487" s="5"/>
      <c r="EI487" s="5"/>
    </row>
    <row r="488" spans="30:139" x14ac:dyDescent="0.2">
      <c r="AD488" s="5"/>
      <c r="AE488" s="5"/>
      <c r="AF488" s="5"/>
      <c r="AG488" s="5"/>
      <c r="ED488" s="5"/>
      <c r="EE488" s="5"/>
      <c r="EF488" s="5"/>
      <c r="EG488" s="5"/>
      <c r="EH488" s="5"/>
      <c r="EI488" s="5"/>
    </row>
    <row r="489" spans="30:139" x14ac:dyDescent="0.2">
      <c r="AD489" s="5"/>
      <c r="AE489" s="5"/>
      <c r="AF489" s="5"/>
      <c r="AG489" s="5"/>
      <c r="ED489" s="5"/>
      <c r="EE489" s="5"/>
      <c r="EF489" s="5"/>
      <c r="EG489" s="5"/>
      <c r="EH489" s="5"/>
      <c r="EI489" s="5"/>
    </row>
    <row r="490" spans="30:139" x14ac:dyDescent="0.2">
      <c r="AD490" s="5"/>
      <c r="AE490" s="5"/>
      <c r="AF490" s="5"/>
      <c r="AG490" s="5"/>
      <c r="ED490" s="5"/>
      <c r="EE490" s="5"/>
      <c r="EF490" s="5"/>
      <c r="EG490" s="5"/>
      <c r="EH490" s="5"/>
      <c r="EI490" s="5"/>
    </row>
    <row r="491" spans="30:139" x14ac:dyDescent="0.2">
      <c r="AD491" s="5"/>
      <c r="AE491" s="5"/>
      <c r="AF491" s="5"/>
      <c r="AG491" s="5"/>
      <c r="ED491" s="5"/>
      <c r="EE491" s="5"/>
      <c r="EF491" s="5"/>
      <c r="EG491" s="5"/>
      <c r="EH491" s="5"/>
      <c r="EI491" s="5"/>
    </row>
    <row r="492" spans="30:139" x14ac:dyDescent="0.2">
      <c r="AD492" s="5"/>
      <c r="AE492" s="5"/>
      <c r="AF492" s="5"/>
      <c r="AG492" s="5"/>
      <c r="ED492" s="5"/>
      <c r="EE492" s="5"/>
      <c r="EF492" s="5"/>
      <c r="EG492" s="5"/>
      <c r="EH492" s="5"/>
      <c r="EI492" s="5"/>
    </row>
    <row r="493" spans="30:139" x14ac:dyDescent="0.2">
      <c r="AD493" s="5"/>
      <c r="AE493" s="5"/>
      <c r="AF493" s="5"/>
      <c r="AG493" s="5"/>
      <c r="ED493" s="5"/>
      <c r="EE493" s="5"/>
      <c r="EF493" s="5"/>
      <c r="EG493" s="5"/>
      <c r="EH493" s="5"/>
      <c r="EI493" s="5"/>
    </row>
    <row r="494" spans="30:139" x14ac:dyDescent="0.2">
      <c r="AD494" s="5"/>
      <c r="AE494" s="5"/>
      <c r="AF494" s="5"/>
      <c r="AG494" s="5"/>
      <c r="ED494" s="5"/>
      <c r="EE494" s="5"/>
      <c r="EF494" s="5"/>
      <c r="EG494" s="5"/>
      <c r="EH494" s="5"/>
      <c r="EI494" s="5"/>
    </row>
    <row r="495" spans="30:139" x14ac:dyDescent="0.2">
      <c r="AD495" s="5"/>
      <c r="AE495" s="5"/>
      <c r="AF495" s="5"/>
      <c r="AG495" s="5"/>
      <c r="ED495" s="5"/>
      <c r="EE495" s="5"/>
      <c r="EF495" s="5"/>
      <c r="EG495" s="5"/>
      <c r="EH495" s="5"/>
      <c r="EI495" s="5"/>
    </row>
    <row r="496" spans="30:139" x14ac:dyDescent="0.2">
      <c r="AD496" s="5"/>
      <c r="AE496" s="5"/>
      <c r="AF496" s="5"/>
      <c r="AG496" s="5"/>
      <c r="ED496" s="5"/>
      <c r="EE496" s="5"/>
      <c r="EF496" s="5"/>
      <c r="EG496" s="5"/>
      <c r="EH496" s="5"/>
      <c r="EI496" s="5"/>
    </row>
    <row r="497" spans="30:139" x14ac:dyDescent="0.2">
      <c r="AD497" s="5"/>
      <c r="AE497" s="5"/>
      <c r="AF497" s="5"/>
      <c r="AG497" s="5"/>
      <c r="ED497" s="5"/>
      <c r="EE497" s="5"/>
      <c r="EF497" s="5"/>
      <c r="EG497" s="5"/>
      <c r="EH497" s="5"/>
      <c r="EI497" s="5"/>
    </row>
    <row r="498" spans="30:139" x14ac:dyDescent="0.2">
      <c r="AD498" s="5"/>
      <c r="AE498" s="5"/>
      <c r="AF498" s="5"/>
      <c r="AG498" s="5"/>
      <c r="ED498" s="5"/>
      <c r="EE498" s="5"/>
      <c r="EF498" s="5"/>
      <c r="EG498" s="5"/>
      <c r="EH498" s="5"/>
      <c r="EI498" s="5"/>
    </row>
    <row r="499" spans="30:139" x14ac:dyDescent="0.2">
      <c r="AD499" s="5"/>
      <c r="AE499" s="5"/>
      <c r="AF499" s="5"/>
      <c r="AG499" s="5"/>
      <c r="ED499" s="5"/>
      <c r="EE499" s="5"/>
      <c r="EF499" s="5"/>
      <c r="EG499" s="5"/>
      <c r="EH499" s="5"/>
      <c r="EI499" s="5"/>
    </row>
    <row r="500" spans="30:139" x14ac:dyDescent="0.2">
      <c r="AD500" s="5"/>
      <c r="AE500" s="5"/>
      <c r="AF500" s="5"/>
      <c r="AG500" s="5"/>
      <c r="ED500" s="5"/>
      <c r="EE500" s="5"/>
      <c r="EF500" s="5"/>
      <c r="EG500" s="5"/>
      <c r="EH500" s="5"/>
      <c r="EI500" s="5"/>
    </row>
    <row r="501" spans="30:139" x14ac:dyDescent="0.2">
      <c r="AD501" s="5"/>
      <c r="AE501" s="5"/>
      <c r="AF501" s="5"/>
      <c r="AG501" s="5"/>
      <c r="ED501" s="5"/>
      <c r="EE501" s="5"/>
      <c r="EF501" s="5"/>
      <c r="EG501" s="5"/>
      <c r="EH501" s="5"/>
      <c r="EI501" s="5"/>
    </row>
    <row r="502" spans="30:139" x14ac:dyDescent="0.2">
      <c r="AD502" s="5"/>
      <c r="AE502" s="5"/>
      <c r="AF502" s="5"/>
      <c r="AG502" s="5"/>
      <c r="ED502" s="5"/>
      <c r="EE502" s="5"/>
      <c r="EF502" s="5"/>
      <c r="EG502" s="5"/>
      <c r="EH502" s="5"/>
      <c r="EI502" s="5"/>
    </row>
    <row r="503" spans="30:139" x14ac:dyDescent="0.2">
      <c r="AD503" s="5"/>
      <c r="AE503" s="5"/>
      <c r="AF503" s="5"/>
      <c r="AG503" s="5"/>
      <c r="ED503" s="5"/>
      <c r="EE503" s="5"/>
      <c r="EF503" s="5"/>
      <c r="EG503" s="5"/>
      <c r="EH503" s="5"/>
      <c r="EI503" s="5"/>
    </row>
    <row r="504" spans="30:139" x14ac:dyDescent="0.2">
      <c r="AD504" s="5"/>
      <c r="AE504" s="5"/>
      <c r="AF504" s="5"/>
      <c r="AG504" s="5"/>
      <c r="ED504" s="5"/>
      <c r="EE504" s="5"/>
      <c r="EF504" s="5"/>
      <c r="EG504" s="5"/>
      <c r="EH504" s="5"/>
      <c r="EI504" s="5"/>
    </row>
    <row r="505" spans="30:139" x14ac:dyDescent="0.2">
      <c r="AD505" s="5"/>
      <c r="AE505" s="5"/>
      <c r="AF505" s="5"/>
      <c r="AG505" s="5"/>
      <c r="ED505" s="5"/>
      <c r="EE505" s="5"/>
      <c r="EF505" s="5"/>
      <c r="EG505" s="5"/>
      <c r="EH505" s="5"/>
      <c r="EI505" s="5"/>
    </row>
    <row r="506" spans="30:139" x14ac:dyDescent="0.2">
      <c r="AD506" s="5"/>
      <c r="AE506" s="5"/>
      <c r="AF506" s="5"/>
      <c r="AG506" s="5"/>
      <c r="ED506" s="5"/>
      <c r="EE506" s="5"/>
      <c r="EF506" s="5"/>
      <c r="EG506" s="5"/>
      <c r="EH506" s="5"/>
      <c r="EI506" s="5"/>
    </row>
    <row r="507" spans="30:139" x14ac:dyDescent="0.2">
      <c r="AD507" s="5"/>
      <c r="AE507" s="5"/>
      <c r="AF507" s="5"/>
      <c r="AG507" s="5"/>
      <c r="ED507" s="5"/>
      <c r="EE507" s="5"/>
      <c r="EF507" s="5"/>
      <c r="EG507" s="5"/>
      <c r="EH507" s="5"/>
      <c r="EI507" s="5"/>
    </row>
    <row r="508" spans="30:139" x14ac:dyDescent="0.2">
      <c r="AD508" s="5"/>
      <c r="AE508" s="5"/>
      <c r="AF508" s="5"/>
      <c r="AG508" s="5"/>
      <c r="ED508" s="5"/>
      <c r="EE508" s="5"/>
      <c r="EF508" s="5"/>
      <c r="EG508" s="5"/>
      <c r="EH508" s="5"/>
      <c r="EI508" s="5"/>
    </row>
    <row r="509" spans="30:139" x14ac:dyDescent="0.2">
      <c r="AD509" s="5"/>
      <c r="AE509" s="5"/>
      <c r="AF509" s="5"/>
      <c r="AG509" s="5"/>
      <c r="ED509" s="5"/>
      <c r="EE509" s="5"/>
      <c r="EF509" s="5"/>
      <c r="EG509" s="5"/>
      <c r="EH509" s="5"/>
      <c r="EI509" s="5"/>
    </row>
    <row r="510" spans="30:139" x14ac:dyDescent="0.2">
      <c r="AD510" s="5"/>
      <c r="AE510" s="5"/>
      <c r="AF510" s="5"/>
      <c r="AG510" s="5"/>
      <c r="ED510" s="5"/>
      <c r="EE510" s="5"/>
      <c r="EF510" s="5"/>
      <c r="EG510" s="5"/>
      <c r="EH510" s="5"/>
      <c r="EI510" s="5"/>
    </row>
    <row r="511" spans="30:139" x14ac:dyDescent="0.2">
      <c r="AD511" s="5"/>
      <c r="AE511" s="5"/>
      <c r="AF511" s="5"/>
      <c r="AG511" s="5"/>
      <c r="ED511" s="5"/>
      <c r="EE511" s="5"/>
      <c r="EF511" s="5"/>
      <c r="EG511" s="5"/>
      <c r="EH511" s="5"/>
      <c r="EI511" s="5"/>
    </row>
    <row r="512" spans="30:139" x14ac:dyDescent="0.2">
      <c r="AD512" s="5"/>
      <c r="AE512" s="5"/>
      <c r="AF512" s="5"/>
      <c r="AG512" s="5"/>
      <c r="ED512" s="5"/>
      <c r="EE512" s="5"/>
      <c r="EF512" s="5"/>
      <c r="EG512" s="5"/>
      <c r="EH512" s="5"/>
      <c r="EI512" s="5"/>
    </row>
    <row r="513" spans="30:139" x14ac:dyDescent="0.2">
      <c r="AD513" s="5"/>
      <c r="AE513" s="5"/>
      <c r="AF513" s="5"/>
      <c r="AG513" s="5"/>
      <c r="ED513" s="5"/>
      <c r="EE513" s="5"/>
      <c r="EF513" s="5"/>
      <c r="EG513" s="5"/>
      <c r="EH513" s="5"/>
      <c r="EI513" s="5"/>
    </row>
    <row r="514" spans="30:139" x14ac:dyDescent="0.2">
      <c r="AD514" s="5"/>
      <c r="AE514" s="5"/>
      <c r="AF514" s="5"/>
      <c r="AG514" s="5"/>
      <c r="ED514" s="5"/>
      <c r="EE514" s="5"/>
      <c r="EF514" s="5"/>
      <c r="EG514" s="5"/>
      <c r="EH514" s="5"/>
      <c r="EI514" s="5"/>
    </row>
    <row r="515" spans="30:139" x14ac:dyDescent="0.2">
      <c r="AD515" s="5"/>
      <c r="AE515" s="5"/>
      <c r="AF515" s="5"/>
      <c r="AG515" s="5"/>
      <c r="ED515" s="5"/>
      <c r="EE515" s="5"/>
      <c r="EF515" s="5"/>
      <c r="EG515" s="5"/>
      <c r="EH515" s="5"/>
      <c r="EI515" s="5"/>
    </row>
    <row r="516" spans="30:139" x14ac:dyDescent="0.2">
      <c r="AD516" s="5"/>
      <c r="AE516" s="5"/>
      <c r="AF516" s="5"/>
      <c r="AG516" s="5"/>
      <c r="ED516" s="5"/>
      <c r="EE516" s="5"/>
      <c r="EF516" s="5"/>
      <c r="EG516" s="5"/>
      <c r="EH516" s="5"/>
      <c r="EI516" s="5"/>
    </row>
    <row r="517" spans="30:139" x14ac:dyDescent="0.2">
      <c r="AD517" s="5"/>
      <c r="AE517" s="5"/>
      <c r="AF517" s="5"/>
      <c r="AG517" s="5"/>
      <c r="ED517" s="5"/>
      <c r="EE517" s="5"/>
      <c r="EF517" s="5"/>
      <c r="EG517" s="5"/>
      <c r="EH517" s="5"/>
      <c r="EI517" s="5"/>
    </row>
    <row r="518" spans="30:139" x14ac:dyDescent="0.2">
      <c r="AD518" s="5"/>
      <c r="AE518" s="5"/>
      <c r="AF518" s="5"/>
      <c r="AG518" s="5"/>
      <c r="ED518" s="5"/>
      <c r="EE518" s="5"/>
      <c r="EF518" s="5"/>
      <c r="EG518" s="5"/>
      <c r="EH518" s="5"/>
      <c r="EI518" s="5"/>
    </row>
    <row r="519" spans="30:139" x14ac:dyDescent="0.2">
      <c r="AD519" s="5"/>
      <c r="AE519" s="5"/>
      <c r="AF519" s="5"/>
      <c r="AG519" s="5"/>
      <c r="ED519" s="5"/>
      <c r="EE519" s="5"/>
      <c r="EF519" s="5"/>
      <c r="EG519" s="5"/>
      <c r="EH519" s="5"/>
      <c r="EI519" s="5"/>
    </row>
    <row r="520" spans="30:139" x14ac:dyDescent="0.2">
      <c r="AD520" s="5"/>
      <c r="AE520" s="5"/>
      <c r="AF520" s="5"/>
      <c r="AG520" s="5"/>
      <c r="ED520" s="5"/>
      <c r="EE520" s="5"/>
      <c r="EF520" s="5"/>
      <c r="EG520" s="5"/>
      <c r="EH520" s="5"/>
      <c r="EI520" s="5"/>
    </row>
    <row r="521" spans="30:139" x14ac:dyDescent="0.2">
      <c r="AD521" s="5"/>
      <c r="AE521" s="5"/>
      <c r="AF521" s="5"/>
      <c r="AG521" s="5"/>
      <c r="ED521" s="5"/>
      <c r="EE521" s="5"/>
      <c r="EF521" s="5"/>
      <c r="EG521" s="5"/>
      <c r="EH521" s="5"/>
      <c r="EI521" s="5"/>
    </row>
    <row r="522" spans="30:139" x14ac:dyDescent="0.2">
      <c r="AD522" s="5"/>
      <c r="AE522" s="5"/>
      <c r="AF522" s="5"/>
      <c r="AG522" s="5"/>
      <c r="ED522" s="5"/>
      <c r="EE522" s="5"/>
      <c r="EF522" s="5"/>
      <c r="EG522" s="5"/>
      <c r="EH522" s="5"/>
      <c r="EI522" s="5"/>
    </row>
    <row r="523" spans="30:139" x14ac:dyDescent="0.2">
      <c r="AD523" s="5"/>
      <c r="AE523" s="5"/>
      <c r="AF523" s="5"/>
      <c r="AG523" s="5"/>
      <c r="ED523" s="5"/>
      <c r="EE523" s="5"/>
      <c r="EF523" s="5"/>
      <c r="EG523" s="5"/>
      <c r="EH523" s="5"/>
      <c r="EI523" s="5"/>
    </row>
    <row r="524" spans="30:139" x14ac:dyDescent="0.2">
      <c r="AD524" s="5"/>
      <c r="AE524" s="5"/>
      <c r="AF524" s="5"/>
      <c r="AG524" s="5"/>
      <c r="ED524" s="5"/>
      <c r="EE524" s="5"/>
      <c r="EF524" s="5"/>
      <c r="EG524" s="5"/>
      <c r="EH524" s="5"/>
      <c r="EI524" s="5"/>
    </row>
    <row r="525" spans="30:139" x14ac:dyDescent="0.2">
      <c r="AD525" s="5"/>
      <c r="AE525" s="5"/>
      <c r="AF525" s="5"/>
      <c r="AG525" s="5"/>
      <c r="ED525" s="5"/>
      <c r="EE525" s="5"/>
      <c r="EF525" s="5"/>
      <c r="EG525" s="5"/>
      <c r="EH525" s="5"/>
      <c r="EI525" s="5"/>
    </row>
    <row r="526" spans="30:139" x14ac:dyDescent="0.2">
      <c r="AD526" s="5"/>
      <c r="AE526" s="5"/>
      <c r="AF526" s="5"/>
      <c r="AG526" s="5"/>
      <c r="ED526" s="5"/>
      <c r="EE526" s="5"/>
      <c r="EF526" s="5"/>
      <c r="EG526" s="5"/>
      <c r="EH526" s="5"/>
      <c r="EI526" s="5"/>
    </row>
    <row r="527" spans="30:139" x14ac:dyDescent="0.2">
      <c r="AD527" s="5"/>
      <c r="AE527" s="5"/>
      <c r="AF527" s="5"/>
      <c r="AG527" s="5"/>
      <c r="ED527" s="5"/>
      <c r="EE527" s="5"/>
      <c r="EF527" s="5"/>
      <c r="EG527" s="5"/>
      <c r="EH527" s="5"/>
      <c r="EI527" s="5"/>
    </row>
    <row r="528" spans="30:139" x14ac:dyDescent="0.2">
      <c r="AD528" s="5"/>
      <c r="AE528" s="5"/>
      <c r="AF528" s="5"/>
      <c r="AG528" s="5"/>
      <c r="ED528" s="5"/>
      <c r="EE528" s="5"/>
      <c r="EF528" s="5"/>
      <c r="EG528" s="5"/>
      <c r="EH528" s="5"/>
      <c r="EI528" s="5"/>
    </row>
    <row r="529" spans="30:139" x14ac:dyDescent="0.2">
      <c r="AD529" s="5"/>
      <c r="AE529" s="5"/>
      <c r="AF529" s="5"/>
      <c r="AG529" s="5"/>
      <c r="ED529" s="5"/>
      <c r="EE529" s="5"/>
      <c r="EF529" s="5"/>
      <c r="EG529" s="5"/>
      <c r="EH529" s="5"/>
      <c r="EI529" s="5"/>
    </row>
    <row r="530" spans="30:139" x14ac:dyDescent="0.2">
      <c r="AD530" s="5"/>
      <c r="AE530" s="5"/>
      <c r="AF530" s="5"/>
      <c r="AG530" s="5"/>
      <c r="ED530" s="5"/>
      <c r="EE530" s="5"/>
      <c r="EF530" s="5"/>
      <c r="EG530" s="5"/>
      <c r="EH530" s="5"/>
      <c r="EI530" s="5"/>
    </row>
    <row r="531" spans="30:139" x14ac:dyDescent="0.2">
      <c r="AD531" s="5"/>
      <c r="AE531" s="5"/>
      <c r="AF531" s="5"/>
      <c r="AG531" s="5"/>
      <c r="ED531" s="5"/>
      <c r="EE531" s="5"/>
      <c r="EF531" s="5"/>
      <c r="EG531" s="5"/>
      <c r="EH531" s="5"/>
      <c r="EI531" s="5"/>
    </row>
    <row r="532" spans="30:139" x14ac:dyDescent="0.2">
      <c r="AD532" s="5"/>
      <c r="AE532" s="5"/>
      <c r="AF532" s="5"/>
      <c r="AG532" s="5"/>
      <c r="ED532" s="5"/>
      <c r="EE532" s="5"/>
      <c r="EF532" s="5"/>
      <c r="EG532" s="5"/>
      <c r="EH532" s="5"/>
      <c r="EI532" s="5"/>
    </row>
    <row r="533" spans="30:139" x14ac:dyDescent="0.2">
      <c r="AD533" s="5"/>
      <c r="AE533" s="5"/>
      <c r="AF533" s="5"/>
      <c r="AG533" s="5"/>
      <c r="ED533" s="5"/>
      <c r="EE533" s="5"/>
      <c r="EF533" s="5"/>
      <c r="EG533" s="5"/>
      <c r="EH533" s="5"/>
      <c r="EI533" s="5"/>
    </row>
    <row r="534" spans="30:139" x14ac:dyDescent="0.2">
      <c r="AD534" s="5"/>
      <c r="AE534" s="5"/>
      <c r="AF534" s="5"/>
      <c r="AG534" s="5"/>
      <c r="ED534" s="5"/>
      <c r="EE534" s="5"/>
      <c r="EF534" s="5"/>
      <c r="EG534" s="5"/>
      <c r="EH534" s="5"/>
      <c r="EI534" s="5"/>
    </row>
    <row r="535" spans="30:139" x14ac:dyDescent="0.2">
      <c r="AD535" s="5"/>
      <c r="AE535" s="5"/>
      <c r="AF535" s="5"/>
      <c r="AG535" s="5"/>
      <c r="ED535" s="5"/>
      <c r="EE535" s="5"/>
      <c r="EF535" s="5"/>
      <c r="EG535" s="5"/>
      <c r="EH535" s="5"/>
      <c r="EI535" s="5"/>
    </row>
    <row r="536" spans="30:139" x14ac:dyDescent="0.2">
      <c r="AD536" s="5"/>
      <c r="AE536" s="5"/>
      <c r="AF536" s="5"/>
      <c r="AG536" s="5"/>
      <c r="ED536" s="5"/>
      <c r="EE536" s="5"/>
      <c r="EF536" s="5"/>
      <c r="EG536" s="5"/>
      <c r="EH536" s="5"/>
      <c r="EI536" s="5"/>
    </row>
    <row r="537" spans="30:139" x14ac:dyDescent="0.2">
      <c r="AD537" s="5"/>
      <c r="AE537" s="5"/>
      <c r="AF537" s="5"/>
      <c r="AG537" s="5"/>
      <c r="ED537" s="5"/>
      <c r="EE537" s="5"/>
      <c r="EF537" s="5"/>
      <c r="EG537" s="5"/>
      <c r="EH537" s="5"/>
      <c r="EI537" s="5"/>
    </row>
    <row r="538" spans="30:139" x14ac:dyDescent="0.2">
      <c r="AD538" s="5"/>
      <c r="AE538" s="5"/>
      <c r="AF538" s="5"/>
      <c r="AG538" s="5"/>
      <c r="ED538" s="5"/>
      <c r="EE538" s="5"/>
      <c r="EF538" s="5"/>
      <c r="EG538" s="5"/>
      <c r="EH538" s="5"/>
      <c r="EI538" s="5"/>
    </row>
    <row r="539" spans="30:139" x14ac:dyDescent="0.2">
      <c r="AD539" s="5"/>
      <c r="AE539" s="5"/>
      <c r="AF539" s="5"/>
      <c r="AG539" s="5"/>
      <c r="ED539" s="5"/>
      <c r="EE539" s="5"/>
      <c r="EF539" s="5"/>
      <c r="EG539" s="5"/>
      <c r="EH539" s="5"/>
      <c r="EI539" s="5"/>
    </row>
    <row r="540" spans="30:139" x14ac:dyDescent="0.2">
      <c r="AD540" s="5"/>
      <c r="AE540" s="5"/>
      <c r="AF540" s="5"/>
      <c r="AG540" s="5"/>
      <c r="ED540" s="5"/>
      <c r="EE540" s="5"/>
      <c r="EF540" s="5"/>
      <c r="EG540" s="5"/>
      <c r="EH540" s="5"/>
      <c r="EI540" s="5"/>
    </row>
    <row r="541" spans="30:139" x14ac:dyDescent="0.2">
      <c r="AD541" s="5"/>
      <c r="AE541" s="5"/>
      <c r="AF541" s="5"/>
      <c r="AG541" s="5"/>
      <c r="ED541" s="5"/>
      <c r="EE541" s="5"/>
      <c r="EF541" s="5"/>
      <c r="EG541" s="5"/>
      <c r="EH541" s="5"/>
      <c r="EI541" s="5"/>
    </row>
    <row r="542" spans="30:139" x14ac:dyDescent="0.2">
      <c r="AD542" s="5"/>
      <c r="AE542" s="5"/>
      <c r="AF542" s="5"/>
      <c r="AG542" s="5"/>
      <c r="ED542" s="5"/>
      <c r="EE542" s="5"/>
      <c r="EF542" s="5"/>
      <c r="EG542" s="5"/>
      <c r="EH542" s="5"/>
      <c r="EI542" s="5"/>
    </row>
    <row r="543" spans="30:139" x14ac:dyDescent="0.2">
      <c r="AD543" s="5"/>
      <c r="AE543" s="5"/>
      <c r="AF543" s="5"/>
      <c r="AG543" s="5"/>
      <c r="ED543" s="5"/>
      <c r="EE543" s="5"/>
      <c r="EF543" s="5"/>
      <c r="EG543" s="5"/>
      <c r="EH543" s="5"/>
      <c r="EI543" s="5"/>
    </row>
    <row r="544" spans="30:139" x14ac:dyDescent="0.2">
      <c r="AD544" s="5"/>
      <c r="AE544" s="5"/>
      <c r="AF544" s="5"/>
      <c r="AG544" s="5"/>
      <c r="ED544" s="5"/>
      <c r="EE544" s="5"/>
      <c r="EF544" s="5"/>
      <c r="EG544" s="5"/>
      <c r="EH544" s="5"/>
      <c r="EI544" s="5"/>
    </row>
    <row r="545" spans="30:139" x14ac:dyDescent="0.2">
      <c r="AD545" s="5"/>
      <c r="AE545" s="5"/>
      <c r="AF545" s="5"/>
      <c r="AG545" s="5"/>
      <c r="ED545" s="5"/>
      <c r="EE545" s="5"/>
      <c r="EF545" s="5"/>
      <c r="EG545" s="5"/>
      <c r="EH545" s="5"/>
      <c r="EI545" s="5"/>
    </row>
    <row r="546" spans="30:139" x14ac:dyDescent="0.2">
      <c r="AD546" s="5"/>
      <c r="AE546" s="5"/>
      <c r="AF546" s="5"/>
      <c r="AG546" s="5"/>
      <c r="ED546" s="5"/>
      <c r="EE546" s="5"/>
      <c r="EF546" s="5"/>
      <c r="EG546" s="5"/>
      <c r="EH546" s="5"/>
      <c r="EI546" s="5"/>
    </row>
    <row r="547" spans="30:139" x14ac:dyDescent="0.2">
      <c r="AD547" s="5"/>
      <c r="AE547" s="5"/>
      <c r="AF547" s="5"/>
      <c r="AG547" s="5"/>
      <c r="ED547" s="5"/>
      <c r="EE547" s="5"/>
      <c r="EF547" s="5"/>
      <c r="EG547" s="5"/>
      <c r="EH547" s="5"/>
      <c r="EI547" s="5"/>
    </row>
    <row r="548" spans="30:139" x14ac:dyDescent="0.2">
      <c r="AD548" s="5"/>
      <c r="AE548" s="5"/>
      <c r="AF548" s="5"/>
      <c r="AG548" s="5"/>
      <c r="ED548" s="5"/>
      <c r="EE548" s="5"/>
      <c r="EF548" s="5"/>
      <c r="EG548" s="5"/>
      <c r="EH548" s="5"/>
      <c r="EI548" s="5"/>
    </row>
    <row r="549" spans="30:139" x14ac:dyDescent="0.2">
      <c r="AD549" s="5"/>
      <c r="AE549" s="5"/>
      <c r="AF549" s="5"/>
      <c r="AG549" s="5"/>
      <c r="ED549" s="5"/>
      <c r="EE549" s="5"/>
      <c r="EF549" s="5"/>
      <c r="EG549" s="5"/>
      <c r="EH549" s="5"/>
      <c r="EI549" s="5"/>
    </row>
    <row r="550" spans="30:139" x14ac:dyDescent="0.2">
      <c r="AD550" s="5"/>
      <c r="AE550" s="5"/>
      <c r="AF550" s="5"/>
      <c r="AG550" s="5"/>
      <c r="ED550" s="5"/>
      <c r="EE550" s="5"/>
      <c r="EF550" s="5"/>
      <c r="EG550" s="5"/>
      <c r="EH550" s="5"/>
      <c r="EI550" s="5"/>
    </row>
    <row r="551" spans="30:139" x14ac:dyDescent="0.2">
      <c r="AD551" s="5"/>
      <c r="AE551" s="5"/>
      <c r="AF551" s="5"/>
      <c r="AG551" s="5"/>
      <c r="ED551" s="5"/>
      <c r="EE551" s="5"/>
      <c r="EF551" s="5"/>
      <c r="EG551" s="5"/>
      <c r="EH551" s="5"/>
      <c r="EI551" s="5"/>
    </row>
    <row r="552" spans="30:139" x14ac:dyDescent="0.2">
      <c r="AD552" s="5"/>
      <c r="AE552" s="5"/>
      <c r="AF552" s="5"/>
      <c r="AG552" s="5"/>
      <c r="ED552" s="5"/>
      <c r="EE552" s="5"/>
      <c r="EF552" s="5"/>
      <c r="EG552" s="5"/>
      <c r="EH552" s="5"/>
      <c r="EI552" s="5"/>
    </row>
    <row r="553" spans="30:139" x14ac:dyDescent="0.2">
      <c r="AD553" s="5"/>
      <c r="AE553" s="5"/>
      <c r="AF553" s="5"/>
      <c r="AG553" s="5"/>
      <c r="ED553" s="5"/>
      <c r="EE553" s="5"/>
      <c r="EF553" s="5"/>
      <c r="EG553" s="5"/>
      <c r="EH553" s="5"/>
      <c r="EI553" s="5"/>
    </row>
    <row r="554" spans="30:139" x14ac:dyDescent="0.2">
      <c r="AD554" s="5"/>
      <c r="AE554" s="5"/>
      <c r="AF554" s="5"/>
      <c r="AG554" s="5"/>
      <c r="ED554" s="5"/>
      <c r="EE554" s="5"/>
      <c r="EF554" s="5"/>
      <c r="EG554" s="5"/>
      <c r="EH554" s="5"/>
      <c r="EI554" s="5"/>
    </row>
    <row r="555" spans="30:139" x14ac:dyDescent="0.2">
      <c r="AD555" s="5"/>
      <c r="AE555" s="5"/>
      <c r="AF555" s="5"/>
      <c r="AG555" s="5"/>
      <c r="ED555" s="5"/>
      <c r="EE555" s="5"/>
      <c r="EF555" s="5"/>
      <c r="EG555" s="5"/>
      <c r="EH555" s="5"/>
      <c r="EI555" s="5"/>
    </row>
    <row r="556" spans="30:139" x14ac:dyDescent="0.2">
      <c r="AD556" s="5"/>
      <c r="AE556" s="5"/>
      <c r="AF556" s="5"/>
      <c r="AG556" s="5"/>
      <c r="ED556" s="5"/>
      <c r="EE556" s="5"/>
      <c r="EF556" s="5"/>
      <c r="EG556" s="5"/>
      <c r="EH556" s="5"/>
      <c r="EI556" s="5"/>
    </row>
    <row r="557" spans="30:139" x14ac:dyDescent="0.2">
      <c r="AD557" s="5"/>
      <c r="AE557" s="5"/>
      <c r="AF557" s="5"/>
      <c r="AG557" s="5"/>
      <c r="ED557" s="5"/>
      <c r="EE557" s="5"/>
      <c r="EF557" s="5"/>
      <c r="EG557" s="5"/>
      <c r="EH557" s="5"/>
      <c r="EI557" s="5"/>
    </row>
    <row r="558" spans="30:139" x14ac:dyDescent="0.2">
      <c r="AD558" s="5"/>
      <c r="AE558" s="5"/>
      <c r="AF558" s="5"/>
      <c r="AG558" s="5"/>
      <c r="ED558" s="5"/>
      <c r="EE558" s="5"/>
      <c r="EF558" s="5"/>
      <c r="EG558" s="5"/>
      <c r="EH558" s="5"/>
      <c r="EI558" s="5"/>
    </row>
    <row r="559" spans="30:139" x14ac:dyDescent="0.2">
      <c r="AD559" s="5"/>
      <c r="AE559" s="5"/>
      <c r="AF559" s="5"/>
      <c r="AG559" s="5"/>
      <c r="ED559" s="5"/>
      <c r="EE559" s="5"/>
      <c r="EF559" s="5"/>
      <c r="EG559" s="5"/>
      <c r="EH559" s="5"/>
      <c r="EI559" s="5"/>
    </row>
    <row r="560" spans="30:139" x14ac:dyDescent="0.2">
      <c r="AD560" s="5"/>
      <c r="AE560" s="5"/>
      <c r="AF560" s="5"/>
      <c r="AG560" s="5"/>
      <c r="ED560" s="5"/>
      <c r="EE560" s="5"/>
      <c r="EF560" s="5"/>
      <c r="EG560" s="5"/>
      <c r="EH560" s="5"/>
      <c r="EI560" s="5"/>
    </row>
    <row r="561" spans="30:139" x14ac:dyDescent="0.2">
      <c r="AD561" s="5"/>
      <c r="AE561" s="5"/>
      <c r="AF561" s="5"/>
      <c r="AG561" s="5"/>
      <c r="ED561" s="5"/>
      <c r="EE561" s="5"/>
      <c r="EF561" s="5"/>
      <c r="EG561" s="5"/>
      <c r="EH561" s="5"/>
      <c r="EI561" s="5"/>
    </row>
    <row r="562" spans="30:139" x14ac:dyDescent="0.2">
      <c r="AD562" s="5"/>
      <c r="AE562" s="5"/>
      <c r="AF562" s="5"/>
      <c r="AG562" s="5"/>
      <c r="ED562" s="5"/>
      <c r="EE562" s="5"/>
      <c r="EF562" s="5"/>
      <c r="EG562" s="5"/>
      <c r="EH562" s="5"/>
      <c r="EI562" s="5"/>
    </row>
    <row r="563" spans="30:139" x14ac:dyDescent="0.2">
      <c r="AD563" s="5"/>
      <c r="AE563" s="5"/>
      <c r="AF563" s="5"/>
      <c r="AG563" s="5"/>
      <c r="ED563" s="5"/>
      <c r="EE563" s="5"/>
      <c r="EF563" s="5"/>
      <c r="EG563" s="5"/>
      <c r="EH563" s="5"/>
      <c r="EI563" s="5"/>
    </row>
    <row r="564" spans="30:139" x14ac:dyDescent="0.2">
      <c r="AD564" s="5"/>
      <c r="AE564" s="5"/>
      <c r="AF564" s="5"/>
      <c r="AG564" s="5"/>
      <c r="ED564" s="5"/>
      <c r="EE564" s="5"/>
      <c r="EF564" s="5"/>
      <c r="EG564" s="5"/>
      <c r="EH564" s="5"/>
      <c r="EI564" s="5"/>
    </row>
    <row r="565" spans="30:139" x14ac:dyDescent="0.2">
      <c r="AD565" s="5"/>
      <c r="AE565" s="5"/>
      <c r="AF565" s="5"/>
      <c r="AG565" s="5"/>
      <c r="ED565" s="5"/>
      <c r="EE565" s="5"/>
      <c r="EF565" s="5"/>
      <c r="EG565" s="5"/>
      <c r="EH565" s="5"/>
      <c r="EI565" s="5"/>
    </row>
    <row r="566" spans="30:139" x14ac:dyDescent="0.2">
      <c r="AD566" s="5"/>
      <c r="AE566" s="5"/>
      <c r="AF566" s="5"/>
      <c r="AG566" s="5"/>
      <c r="ED566" s="5"/>
      <c r="EE566" s="5"/>
      <c r="EF566" s="5"/>
      <c r="EG566" s="5"/>
      <c r="EH566" s="5"/>
      <c r="EI566" s="5"/>
    </row>
    <row r="567" spans="30:139" x14ac:dyDescent="0.2">
      <c r="AD567" s="5"/>
      <c r="AE567" s="5"/>
      <c r="AF567" s="5"/>
      <c r="AG567" s="5"/>
      <c r="ED567" s="5"/>
      <c r="EE567" s="5"/>
      <c r="EF567" s="5"/>
      <c r="EG567" s="5"/>
      <c r="EH567" s="5"/>
      <c r="EI567" s="5"/>
    </row>
    <row r="568" spans="30:139" x14ac:dyDescent="0.2">
      <c r="AD568" s="5"/>
      <c r="AE568" s="5"/>
      <c r="AF568" s="5"/>
      <c r="AG568" s="5"/>
      <c r="ED568" s="5"/>
      <c r="EE568" s="5"/>
      <c r="EF568" s="5"/>
      <c r="EG568" s="5"/>
      <c r="EH568" s="5"/>
      <c r="EI568" s="5"/>
    </row>
    <row r="569" spans="30:139" x14ac:dyDescent="0.2">
      <c r="AD569" s="5"/>
      <c r="AE569" s="5"/>
      <c r="AF569" s="5"/>
      <c r="AG569" s="5"/>
      <c r="ED569" s="5"/>
      <c r="EE569" s="5"/>
      <c r="EF569" s="5"/>
      <c r="EG569" s="5"/>
      <c r="EH569" s="5"/>
      <c r="EI569" s="5"/>
    </row>
    <row r="570" spans="30:139" x14ac:dyDescent="0.2">
      <c r="AD570" s="5"/>
      <c r="AE570" s="5"/>
      <c r="AF570" s="5"/>
      <c r="AG570" s="5"/>
      <c r="ED570" s="5"/>
      <c r="EE570" s="5"/>
      <c r="EF570" s="5"/>
      <c r="EG570" s="5"/>
      <c r="EH570" s="5"/>
      <c r="EI570" s="5"/>
    </row>
    <row r="571" spans="30:139" x14ac:dyDescent="0.2">
      <c r="AD571" s="5"/>
      <c r="AE571" s="5"/>
      <c r="AF571" s="5"/>
      <c r="AG571" s="5"/>
      <c r="ED571" s="5"/>
      <c r="EE571" s="5"/>
      <c r="EF571" s="5"/>
      <c r="EG571" s="5"/>
      <c r="EH571" s="5"/>
      <c r="EI571" s="5"/>
    </row>
    <row r="572" spans="30:139" x14ac:dyDescent="0.2">
      <c r="AD572" s="5"/>
      <c r="AE572" s="5"/>
      <c r="AF572" s="5"/>
      <c r="AG572" s="5"/>
      <c r="ED572" s="5"/>
      <c r="EE572" s="5"/>
      <c r="EF572" s="5"/>
      <c r="EG572" s="5"/>
      <c r="EH572" s="5"/>
      <c r="EI572" s="5"/>
    </row>
    <row r="573" spans="30:139" x14ac:dyDescent="0.2">
      <c r="AD573" s="5"/>
      <c r="AE573" s="5"/>
      <c r="AF573" s="5"/>
      <c r="AG573" s="5"/>
      <c r="ED573" s="5"/>
      <c r="EE573" s="5"/>
      <c r="EF573" s="5"/>
      <c r="EG573" s="5"/>
      <c r="EH573" s="5"/>
      <c r="EI573" s="5"/>
    </row>
    <row r="574" spans="30:139" x14ac:dyDescent="0.2">
      <c r="AD574" s="5"/>
      <c r="AE574" s="5"/>
      <c r="AF574" s="5"/>
      <c r="AG574" s="5"/>
      <c r="ED574" s="5"/>
      <c r="EE574" s="5"/>
      <c r="EF574" s="5"/>
      <c r="EG574" s="5"/>
      <c r="EH574" s="5"/>
      <c r="EI574" s="5"/>
    </row>
    <row r="575" spans="30:139" x14ac:dyDescent="0.2">
      <c r="AD575" s="5"/>
      <c r="AE575" s="5"/>
      <c r="AF575" s="5"/>
      <c r="AG575" s="5"/>
      <c r="ED575" s="5"/>
      <c r="EE575" s="5"/>
      <c r="EF575" s="5"/>
      <c r="EG575" s="5"/>
      <c r="EH575" s="5"/>
      <c r="EI575" s="5"/>
    </row>
    <row r="576" spans="30:139" x14ac:dyDescent="0.2">
      <c r="AD576" s="5"/>
      <c r="AE576" s="5"/>
      <c r="AF576" s="5"/>
      <c r="AG576" s="5"/>
      <c r="ED576" s="5"/>
      <c r="EE576" s="5"/>
      <c r="EF576" s="5"/>
      <c r="EG576" s="5"/>
      <c r="EH576" s="5"/>
      <c r="EI576" s="5"/>
    </row>
    <row r="577" spans="30:139" x14ac:dyDescent="0.2">
      <c r="AD577" s="5"/>
      <c r="AE577" s="5"/>
      <c r="AF577" s="5"/>
      <c r="AG577" s="5"/>
      <c r="ED577" s="5"/>
      <c r="EE577" s="5"/>
      <c r="EF577" s="5"/>
      <c r="EG577" s="5"/>
      <c r="EH577" s="5"/>
      <c r="EI577" s="5"/>
    </row>
    <row r="578" spans="30:139" x14ac:dyDescent="0.2">
      <c r="AD578" s="5"/>
      <c r="AE578" s="5"/>
      <c r="AF578" s="5"/>
      <c r="AG578" s="5"/>
      <c r="ED578" s="5"/>
      <c r="EE578" s="5"/>
      <c r="EF578" s="5"/>
      <c r="EG578" s="5"/>
      <c r="EH578" s="5"/>
      <c r="EI578" s="5"/>
    </row>
    <row r="579" spans="30:139" x14ac:dyDescent="0.2">
      <c r="AD579" s="5"/>
      <c r="AE579" s="5"/>
      <c r="AF579" s="5"/>
      <c r="AG579" s="5"/>
      <c r="ED579" s="5"/>
      <c r="EE579" s="5"/>
      <c r="EF579" s="5"/>
      <c r="EG579" s="5"/>
      <c r="EH579" s="5"/>
      <c r="EI579" s="5"/>
    </row>
    <row r="580" spans="30:139" x14ac:dyDescent="0.2">
      <c r="AD580" s="5"/>
      <c r="AE580" s="5"/>
      <c r="AF580" s="5"/>
      <c r="AG580" s="5"/>
      <c r="ED580" s="5"/>
      <c r="EE580" s="5"/>
      <c r="EF580" s="5"/>
      <c r="EG580" s="5"/>
      <c r="EH580" s="5"/>
      <c r="EI580" s="5"/>
    </row>
    <row r="581" spans="30:139" x14ac:dyDescent="0.2">
      <c r="AD581" s="5"/>
      <c r="AE581" s="5"/>
      <c r="AF581" s="5"/>
      <c r="AG581" s="5"/>
      <c r="ED581" s="5"/>
      <c r="EE581" s="5"/>
      <c r="EF581" s="5"/>
      <c r="EG581" s="5"/>
      <c r="EH581" s="5"/>
      <c r="EI581" s="5"/>
    </row>
    <row r="582" spans="30:139" x14ac:dyDescent="0.2">
      <c r="AD582" s="5"/>
      <c r="AE582" s="5"/>
      <c r="AF582" s="5"/>
      <c r="AG582" s="5"/>
      <c r="ED582" s="5"/>
      <c r="EE582" s="5"/>
      <c r="EF582" s="5"/>
      <c r="EG582" s="5"/>
      <c r="EH582" s="5"/>
      <c r="EI582" s="5"/>
    </row>
    <row r="583" spans="30:139" x14ac:dyDescent="0.2">
      <c r="AD583" s="5"/>
      <c r="AE583" s="5"/>
      <c r="AF583" s="5"/>
      <c r="AG583" s="5"/>
      <c r="ED583" s="5"/>
      <c r="EE583" s="5"/>
      <c r="EF583" s="5"/>
      <c r="EG583" s="5"/>
      <c r="EH583" s="5"/>
      <c r="EI583" s="5"/>
    </row>
    <row r="584" spans="30:139" x14ac:dyDescent="0.2">
      <c r="AD584" s="5"/>
      <c r="AE584" s="5"/>
      <c r="AF584" s="5"/>
      <c r="AG584" s="5"/>
      <c r="ED584" s="5"/>
      <c r="EE584" s="5"/>
      <c r="EF584" s="5"/>
      <c r="EG584" s="5"/>
      <c r="EH584" s="5"/>
      <c r="EI584" s="5"/>
    </row>
    <row r="585" spans="30:139" x14ac:dyDescent="0.2">
      <c r="AD585" s="5"/>
      <c r="AE585" s="5"/>
      <c r="AF585" s="5"/>
      <c r="AG585" s="5"/>
      <c r="ED585" s="5"/>
      <c r="EE585" s="5"/>
      <c r="EF585" s="5"/>
      <c r="EG585" s="5"/>
      <c r="EH585" s="5"/>
      <c r="EI585" s="5"/>
    </row>
    <row r="586" spans="30:139" x14ac:dyDescent="0.2">
      <c r="AD586" s="5"/>
      <c r="AE586" s="5"/>
      <c r="AF586" s="5"/>
      <c r="AG586" s="5"/>
      <c r="ED586" s="5"/>
      <c r="EE586" s="5"/>
      <c r="EF586" s="5"/>
      <c r="EG586" s="5"/>
      <c r="EH586" s="5"/>
      <c r="EI586" s="5"/>
    </row>
    <row r="587" spans="30:139" x14ac:dyDescent="0.2">
      <c r="AD587" s="5"/>
      <c r="AE587" s="5"/>
      <c r="AF587" s="5"/>
      <c r="AG587" s="5"/>
      <c r="ED587" s="5"/>
      <c r="EE587" s="5"/>
      <c r="EF587" s="5"/>
      <c r="EG587" s="5"/>
      <c r="EH587" s="5"/>
      <c r="EI587" s="5"/>
    </row>
    <row r="588" spans="30:139" x14ac:dyDescent="0.2">
      <c r="AD588" s="5"/>
      <c r="AE588" s="5"/>
      <c r="AF588" s="5"/>
      <c r="AG588" s="5"/>
      <c r="ED588" s="5"/>
      <c r="EE588" s="5"/>
      <c r="EF588" s="5"/>
      <c r="EG588" s="5"/>
      <c r="EH588" s="5"/>
      <c r="EI588" s="5"/>
    </row>
    <row r="589" spans="30:139" x14ac:dyDescent="0.2">
      <c r="AD589" s="5"/>
      <c r="AE589" s="5"/>
      <c r="AF589" s="5"/>
      <c r="AG589" s="5"/>
      <c r="ED589" s="5"/>
      <c r="EE589" s="5"/>
      <c r="EF589" s="5"/>
      <c r="EG589" s="5"/>
      <c r="EH589" s="5"/>
      <c r="EI589" s="5"/>
    </row>
    <row r="590" spans="30:139" x14ac:dyDescent="0.2">
      <c r="AD590" s="5"/>
      <c r="AE590" s="5"/>
      <c r="AF590" s="5"/>
      <c r="AG590" s="5"/>
      <c r="ED590" s="5"/>
      <c r="EE590" s="5"/>
      <c r="EF590" s="5"/>
      <c r="EG590" s="5"/>
      <c r="EH590" s="5"/>
      <c r="EI590" s="5"/>
    </row>
    <row r="591" spans="30:139" x14ac:dyDescent="0.2">
      <c r="AD591" s="5"/>
      <c r="AE591" s="5"/>
      <c r="AF591" s="5"/>
      <c r="AG591" s="5"/>
      <c r="ED591" s="5"/>
      <c r="EE591" s="5"/>
      <c r="EF591" s="5"/>
      <c r="EG591" s="5"/>
      <c r="EH591" s="5"/>
      <c r="EI591" s="5"/>
    </row>
    <row r="592" spans="30:139" x14ac:dyDescent="0.2">
      <c r="AD592" s="5"/>
      <c r="AE592" s="5"/>
      <c r="AF592" s="5"/>
      <c r="AG592" s="5"/>
      <c r="ED592" s="5"/>
      <c r="EE592" s="5"/>
      <c r="EF592" s="5"/>
      <c r="EG592" s="5"/>
      <c r="EH592" s="5"/>
      <c r="EI592" s="5"/>
    </row>
    <row r="593" spans="30:139" x14ac:dyDescent="0.2">
      <c r="AD593" s="5"/>
      <c r="AE593" s="5"/>
      <c r="AF593" s="5"/>
      <c r="AG593" s="5"/>
      <c r="ED593" s="5"/>
      <c r="EE593" s="5"/>
      <c r="EF593" s="5"/>
      <c r="EG593" s="5"/>
      <c r="EH593" s="5"/>
      <c r="EI593" s="5"/>
    </row>
    <row r="594" spans="30:139" x14ac:dyDescent="0.2">
      <c r="AD594" s="5"/>
      <c r="AE594" s="5"/>
      <c r="AF594" s="5"/>
      <c r="AG594" s="5"/>
      <c r="ED594" s="5"/>
      <c r="EE594" s="5"/>
      <c r="EF594" s="5"/>
      <c r="EG594" s="5"/>
      <c r="EH594" s="5"/>
      <c r="EI594" s="5"/>
    </row>
    <row r="595" spans="30:139" x14ac:dyDescent="0.2">
      <c r="AD595" s="5"/>
      <c r="AE595" s="5"/>
      <c r="AF595" s="5"/>
      <c r="AG595" s="5"/>
      <c r="ED595" s="5"/>
      <c r="EE595" s="5"/>
      <c r="EF595" s="5"/>
      <c r="EG595" s="5"/>
      <c r="EH595" s="5"/>
      <c r="EI595" s="5"/>
    </row>
  </sheetData>
  <mergeCells count="11">
    <mergeCell ref="O6:Q6"/>
    <mergeCell ref="DP5:DR5"/>
    <mergeCell ref="DK5:DM5"/>
    <mergeCell ref="DF5:DH5"/>
    <mergeCell ref="BH6:BJ6"/>
    <mergeCell ref="T7:V7"/>
    <mergeCell ref="AX5:AZ5"/>
    <mergeCell ref="AX6:AZ6"/>
    <mergeCell ref="BC6:BE6"/>
    <mergeCell ref="AN6:AP6"/>
    <mergeCell ref="AS6:AU6"/>
  </mergeCells>
  <pageMargins left="0.45" right="0" top="0.17" bottom="0.25" header="0.26" footer="0"/>
  <pageSetup scale="70" orientation="landscape" r:id="rId1"/>
  <headerFooter>
    <oddFooter>&amp;CPage &amp;P of &amp;N</oddFooter>
  </headerFooter>
  <colBreaks count="6" manualBreakCount="6">
    <brk id="18" max="1048575" man="1"/>
    <brk id="38" max="1048575" man="1"/>
    <brk id="58" max="1048575" man="1"/>
    <brk id="78" max="1048575" man="1"/>
    <brk id="98" max="1048575" man="1"/>
    <brk id="118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59999389629810485"/>
  </sheetPr>
  <dimension ref="A1:AY84"/>
  <sheetViews>
    <sheetView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A9" sqref="A9:XFD10"/>
    </sheetView>
  </sheetViews>
  <sheetFormatPr defaultRowHeight="12.75" x14ac:dyDescent="0.2"/>
  <cols>
    <col min="1" max="1" width="9.7109375" style="28" customWidth="1"/>
    <col min="2" max="2" width="3.7109375" customWidth="1"/>
    <col min="3" max="6" width="13.7109375" style="3" customWidth="1"/>
    <col min="7" max="7" width="3.7109375" customWidth="1"/>
    <col min="8" max="11" width="13.7109375" style="5" customWidth="1"/>
    <col min="12" max="12" width="3.7109375" style="5" customWidth="1"/>
    <col min="13" max="16" width="12.7109375" style="5" customWidth="1"/>
    <col min="17" max="17" width="3.7109375" style="5" customWidth="1"/>
    <col min="18" max="21" width="12.7109375" style="5" customWidth="1"/>
    <col min="22" max="22" width="3.7109375" style="5" customWidth="1"/>
    <col min="23" max="26" width="13.7109375" style="5" customWidth="1"/>
    <col min="27" max="27" width="3.7109375" style="5" customWidth="1"/>
    <col min="28" max="31" width="13.7109375" style="5" customWidth="1"/>
    <col min="32" max="32" width="3.7109375" style="5" customWidth="1"/>
    <col min="33" max="34" width="12.7109375" style="5" customWidth="1"/>
    <col min="35" max="36" width="13.7109375" style="5" customWidth="1"/>
    <col min="37" max="37" width="3.7109375" style="5" customWidth="1"/>
    <col min="38" max="39" width="12.7109375" style="5" customWidth="1"/>
    <col min="40" max="41" width="13.7109375" style="5" customWidth="1"/>
    <col min="42" max="42" width="3.7109375" style="5" customWidth="1"/>
    <col min="43" max="44" width="12.7109375" style="5" customWidth="1"/>
    <col min="45" max="46" width="14.140625" style="5" customWidth="1"/>
    <col min="47" max="47" width="3.7109375" style="5" customWidth="1"/>
    <col min="48" max="49" width="12.7109375" style="5" customWidth="1"/>
    <col min="50" max="51" width="14.140625" style="5" customWidth="1"/>
  </cols>
  <sheetData>
    <row r="1" spans="1:51" x14ac:dyDescent="0.2">
      <c r="A1" s="1"/>
      <c r="B1" s="2"/>
      <c r="D1" s="4"/>
      <c r="H1" s="4" t="s">
        <v>28</v>
      </c>
      <c r="W1" s="4" t="s">
        <v>28</v>
      </c>
      <c r="AL1" s="4" t="s">
        <v>28</v>
      </c>
    </row>
    <row r="2" spans="1:51" x14ac:dyDescent="0.2">
      <c r="A2" s="1"/>
      <c r="B2" s="2"/>
      <c r="D2" s="4"/>
      <c r="H2" s="4" t="s">
        <v>27</v>
      </c>
      <c r="W2" s="4" t="s">
        <v>27</v>
      </c>
      <c r="AL2" s="4" t="s">
        <v>27</v>
      </c>
    </row>
    <row r="3" spans="1:51" x14ac:dyDescent="0.2">
      <c r="A3" s="1"/>
      <c r="B3" s="2"/>
      <c r="D3" s="7"/>
      <c r="H3" s="61" t="s">
        <v>97</v>
      </c>
      <c r="W3" s="61" t="s">
        <v>97</v>
      </c>
      <c r="AL3" s="61" t="s">
        <v>97</v>
      </c>
    </row>
    <row r="4" spans="1:51" x14ac:dyDescent="0.2">
      <c r="A4" s="1"/>
      <c r="B4" s="2"/>
      <c r="C4" s="7"/>
      <c r="D4" s="4"/>
      <c r="J4" s="65"/>
      <c r="K4" s="65"/>
      <c r="O4" s="65"/>
      <c r="P4" s="65"/>
      <c r="T4" s="65"/>
      <c r="U4" s="65"/>
      <c r="Y4" s="65"/>
      <c r="Z4" s="65"/>
      <c r="AD4" s="65"/>
      <c r="AE4" s="65"/>
      <c r="AI4" s="65"/>
      <c r="AJ4" s="65"/>
      <c r="AN4" s="65"/>
      <c r="AO4" s="65"/>
      <c r="AS4" s="65"/>
      <c r="AT4" s="65"/>
      <c r="AX4" s="65"/>
      <c r="AY4" s="65"/>
    </row>
    <row r="5" spans="1:51" x14ac:dyDescent="0.2">
      <c r="A5" s="9" t="s">
        <v>0</v>
      </c>
      <c r="C5" s="62" t="s">
        <v>102</v>
      </c>
      <c r="D5" s="10"/>
      <c r="E5" s="11"/>
      <c r="F5" s="234"/>
      <c r="H5" s="173" t="s">
        <v>106</v>
      </c>
      <c r="I5" s="177"/>
      <c r="J5" s="179"/>
      <c r="K5" s="242"/>
      <c r="M5" s="57" t="s">
        <v>29</v>
      </c>
      <c r="N5" s="13"/>
      <c r="O5" s="14"/>
      <c r="P5" s="3"/>
      <c r="Q5" s="3"/>
      <c r="R5" s="57" t="s">
        <v>144</v>
      </c>
      <c r="S5" s="13"/>
      <c r="T5" s="14"/>
      <c r="U5" s="3"/>
      <c r="W5" s="33" t="s">
        <v>69</v>
      </c>
      <c r="X5" s="13"/>
      <c r="Y5" s="14"/>
      <c r="Z5" s="3"/>
      <c r="AB5" s="33" t="s">
        <v>192</v>
      </c>
      <c r="AC5" s="13"/>
      <c r="AD5" s="14"/>
      <c r="AE5" s="3"/>
      <c r="AG5" s="58" t="s">
        <v>88</v>
      </c>
      <c r="AH5" s="13"/>
      <c r="AI5" s="14"/>
      <c r="AJ5" s="3"/>
      <c r="AL5" s="58" t="s">
        <v>70</v>
      </c>
      <c r="AM5" s="13"/>
      <c r="AN5" s="14"/>
      <c r="AO5" s="3"/>
      <c r="AQ5" s="33" t="s">
        <v>77</v>
      </c>
      <c r="AR5" s="13"/>
      <c r="AS5" s="14"/>
      <c r="AT5" s="3"/>
      <c r="AV5" s="33" t="s">
        <v>133</v>
      </c>
      <c r="AW5" s="13"/>
      <c r="AX5" s="14"/>
      <c r="AY5" s="3"/>
    </row>
    <row r="6" spans="1:51" x14ac:dyDescent="0.2">
      <c r="A6" s="18" t="s">
        <v>1</v>
      </c>
      <c r="B6" s="8"/>
      <c r="C6" s="66" t="s">
        <v>105</v>
      </c>
      <c r="D6" s="13"/>
      <c r="E6" s="32"/>
      <c r="F6" s="25" t="s">
        <v>211</v>
      </c>
      <c r="H6" s="19">
        <f>+M6+W6+AB6+AG6+AL6+AQ6+AV6+R6</f>
        <v>4.2989400000000004E-2</v>
      </c>
      <c r="I6" s="19">
        <f>+N6+X6+AC6+AH6+AM6+AR6+AW6+S6</f>
        <v>4.7787900000000001E-2</v>
      </c>
      <c r="J6" s="19">
        <f>+O6+Y6+AD6+AI6+AN6+AS6+AX6+T6</f>
        <v>6.3442500000000013E-2</v>
      </c>
      <c r="K6" s="25" t="s">
        <v>211</v>
      </c>
      <c r="M6" s="34">
        <v>7.2803E-3</v>
      </c>
      <c r="N6" s="8">
        <v>8.5141999999999995E-3</v>
      </c>
      <c r="O6" s="21">
        <v>9.9330000000000009E-3</v>
      </c>
      <c r="P6" s="25" t="s">
        <v>211</v>
      </c>
      <c r="Q6" s="55"/>
      <c r="R6" s="34"/>
      <c r="S6" s="8">
        <v>2.1177000000000001E-3</v>
      </c>
      <c r="T6" s="21">
        <v>4.0258999999999998E-3</v>
      </c>
      <c r="U6" s="25" t="s">
        <v>211</v>
      </c>
      <c r="W6" s="34">
        <v>1.9903E-3</v>
      </c>
      <c r="X6" s="8">
        <v>1.9903E-3</v>
      </c>
      <c r="Y6" s="21">
        <v>3.9215999999999999E-3</v>
      </c>
      <c r="Z6" s="25" t="s">
        <v>211</v>
      </c>
      <c r="AB6" s="34">
        <v>9.2650000000000002E-4</v>
      </c>
      <c r="AC6" s="8">
        <v>1.2794E-3</v>
      </c>
      <c r="AD6" s="21">
        <v>2.9513999999999999E-3</v>
      </c>
      <c r="AE6" s="25" t="s">
        <v>211</v>
      </c>
      <c r="AG6" s="34">
        <v>9.4065999999999993E-3</v>
      </c>
      <c r="AH6" s="20">
        <v>9.7224000000000008E-3</v>
      </c>
      <c r="AI6" s="21">
        <v>1.4975E-2</v>
      </c>
      <c r="AJ6" s="25" t="s">
        <v>211</v>
      </c>
      <c r="AL6" s="34">
        <v>6.9249999999999997E-4</v>
      </c>
      <c r="AM6" s="20">
        <v>1.4706999999999999E-3</v>
      </c>
      <c r="AN6" s="21">
        <v>2.2412E-3</v>
      </c>
      <c r="AO6" s="25" t="s">
        <v>211</v>
      </c>
      <c r="AQ6" s="34">
        <v>2.0451400000000002E-2</v>
      </c>
      <c r="AR6" s="20">
        <v>2.0451400000000002E-2</v>
      </c>
      <c r="AS6" s="21">
        <v>2.0451400000000002E-2</v>
      </c>
      <c r="AT6" s="25" t="s">
        <v>211</v>
      </c>
      <c r="AV6" s="34">
        <v>2.2418E-3</v>
      </c>
      <c r="AW6" s="20">
        <v>2.2418E-3</v>
      </c>
      <c r="AX6" s="21">
        <v>4.9430000000000003E-3</v>
      </c>
      <c r="AY6" s="25" t="s">
        <v>211</v>
      </c>
    </row>
    <row r="7" spans="1:51" x14ac:dyDescent="0.2">
      <c r="A7" s="18"/>
      <c r="B7" s="8"/>
      <c r="C7" s="33"/>
      <c r="D7" s="13"/>
      <c r="E7" s="32"/>
      <c r="F7" s="25" t="s">
        <v>212</v>
      </c>
      <c r="H7" s="19">
        <f>+M7+W7+AB7+AG7+AL7+AQ7+AV7+R7</f>
        <v>8.762260568493152E-2</v>
      </c>
      <c r="I7" s="20"/>
      <c r="J7" s="84"/>
      <c r="K7" s="25" t="s">
        <v>212</v>
      </c>
      <c r="M7" s="34">
        <v>1.1402237191780823E-2</v>
      </c>
      <c r="N7" s="251">
        <v>1.1510860333133864E-2</v>
      </c>
      <c r="O7" s="21"/>
      <c r="P7" s="25" t="s">
        <v>212</v>
      </c>
      <c r="Q7" s="55"/>
      <c r="R7" s="34">
        <v>4.9816775342465753E-3</v>
      </c>
      <c r="S7" s="252">
        <v>6.6513368556820234E-3</v>
      </c>
      <c r="T7" s="21"/>
      <c r="U7" s="25" t="s">
        <v>212</v>
      </c>
      <c r="W7" s="34">
        <v>5.5924258219178097E-3</v>
      </c>
      <c r="X7" s="251">
        <v>6.3501364988343143E-3</v>
      </c>
      <c r="Y7" s="21"/>
      <c r="Z7" s="25" t="s">
        <v>212</v>
      </c>
      <c r="AB7" s="34">
        <v>1.5038120342465756E-2</v>
      </c>
      <c r="AC7" s="252">
        <v>2.1586382527982447E-2</v>
      </c>
      <c r="AD7" s="21"/>
      <c r="AE7" s="25" t="s">
        <v>212</v>
      </c>
      <c r="AG7" s="34">
        <v>1.5065411643835618E-2</v>
      </c>
      <c r="AH7" s="251">
        <v>1.5072719891586768E-2</v>
      </c>
      <c r="AI7" s="21"/>
      <c r="AJ7" s="25" t="s">
        <v>212</v>
      </c>
      <c r="AL7" s="34">
        <v>8.6877693150684953E-3</v>
      </c>
      <c r="AM7" s="251">
        <v>8.7598505719255065E-3</v>
      </c>
      <c r="AN7" s="21"/>
      <c r="AO7" s="25" t="s">
        <v>212</v>
      </c>
      <c r="AQ7" s="34">
        <v>2.0451446575342466E-2</v>
      </c>
      <c r="AR7" s="251">
        <v>2.0461367594560232E-2</v>
      </c>
      <c r="AS7" s="21"/>
      <c r="AT7" s="25" t="s">
        <v>212</v>
      </c>
      <c r="AV7" s="34">
        <v>6.4035172602739726E-3</v>
      </c>
      <c r="AW7" s="251">
        <v>7.1479482620521164E-3</v>
      </c>
      <c r="AX7" s="21"/>
      <c r="AY7" s="25" t="s">
        <v>212</v>
      </c>
    </row>
    <row r="8" spans="1:51" x14ac:dyDescent="0.2">
      <c r="A8" s="24"/>
      <c r="C8" s="25" t="s">
        <v>2</v>
      </c>
      <c r="D8" s="25" t="s">
        <v>3</v>
      </c>
      <c r="E8" s="25" t="s">
        <v>4</v>
      </c>
      <c r="F8" s="25" t="s">
        <v>4</v>
      </c>
      <c r="H8" s="25" t="s">
        <v>2</v>
      </c>
      <c r="I8" s="25" t="s">
        <v>3</v>
      </c>
      <c r="J8" s="25" t="s">
        <v>4</v>
      </c>
      <c r="K8" s="25" t="s">
        <v>4</v>
      </c>
      <c r="M8" s="25" t="s">
        <v>2</v>
      </c>
      <c r="N8" s="25" t="s">
        <v>3</v>
      </c>
      <c r="O8" s="25" t="s">
        <v>4</v>
      </c>
      <c r="P8" s="25" t="s">
        <v>4</v>
      </c>
      <c r="Q8" s="60"/>
      <c r="R8" s="25" t="s">
        <v>2</v>
      </c>
      <c r="S8" s="25" t="s">
        <v>3</v>
      </c>
      <c r="T8" s="25" t="s">
        <v>4</v>
      </c>
      <c r="U8" s="25" t="s">
        <v>4</v>
      </c>
      <c r="W8" s="25" t="s">
        <v>2</v>
      </c>
      <c r="X8" s="25" t="s">
        <v>3</v>
      </c>
      <c r="Y8" s="25" t="s">
        <v>4</v>
      </c>
      <c r="Z8" s="25" t="s">
        <v>4</v>
      </c>
      <c r="AB8" s="25" t="s">
        <v>2</v>
      </c>
      <c r="AC8" s="25" t="s">
        <v>3</v>
      </c>
      <c r="AD8" s="25" t="s">
        <v>4</v>
      </c>
      <c r="AE8" s="25" t="s">
        <v>4</v>
      </c>
      <c r="AG8" s="25" t="s">
        <v>2</v>
      </c>
      <c r="AH8" s="25" t="s">
        <v>3</v>
      </c>
      <c r="AI8" s="25" t="s">
        <v>4</v>
      </c>
      <c r="AJ8" s="25" t="s">
        <v>4</v>
      </c>
      <c r="AL8" s="25" t="s">
        <v>2</v>
      </c>
      <c r="AM8" s="25" t="s">
        <v>3</v>
      </c>
      <c r="AN8" s="25" t="s">
        <v>4</v>
      </c>
      <c r="AO8" s="25" t="s">
        <v>4</v>
      </c>
      <c r="AQ8" s="25" t="s">
        <v>2</v>
      </c>
      <c r="AR8" s="25" t="s">
        <v>3</v>
      </c>
      <c r="AS8" s="25" t="s">
        <v>4</v>
      </c>
      <c r="AT8" s="25" t="s">
        <v>4</v>
      </c>
      <c r="AV8" s="25" t="s">
        <v>2</v>
      </c>
      <c r="AW8" s="25" t="s">
        <v>3</v>
      </c>
      <c r="AX8" s="25" t="s">
        <v>4</v>
      </c>
      <c r="AY8" s="25" t="s">
        <v>4</v>
      </c>
    </row>
    <row r="9" spans="1:51" x14ac:dyDescent="0.2">
      <c r="A9" s="28">
        <v>45566</v>
      </c>
      <c r="D9" s="3">
        <v>2252650</v>
      </c>
      <c r="E9" s="3">
        <f t="shared" ref="E9:E42" si="0">C9+D9</f>
        <v>2252650</v>
      </c>
      <c r="F9" s="3">
        <v>751642</v>
      </c>
      <c r="H9" s="136">
        <f t="shared" ref="H9:H42" si="1">+M9+W9+AB9+AG9+AL9+AQ9+AV9+R9</f>
        <v>0</v>
      </c>
      <c r="I9" s="136">
        <f t="shared" ref="I9:I42" si="2">+N9+X9+AC9+AH9+AM9+AR9+AW9+S9</f>
        <v>219724.83830217362</v>
      </c>
      <c r="J9" s="136">
        <f t="shared" ref="J9:J42" si="3">H9+I9</f>
        <v>219724.83830217362</v>
      </c>
      <c r="K9" s="5">
        <f t="shared" ref="K9:K42" si="4">+P9+Z9+AE9+AJ9+AO9+AT9+AY9+U9</f>
        <v>73315.613571181675</v>
      </c>
      <c r="M9" s="250">
        <f t="shared" ref="M9:M42" si="5">$C9*N$7</f>
        <v>0</v>
      </c>
      <c r="N9" s="250">
        <f t="shared" ref="N9:N42" si="6">$D9*N$7</f>
        <v>25929.939529433999</v>
      </c>
      <c r="O9" s="250">
        <f t="shared" ref="O9:O42" si="7">M9+N9</f>
        <v>25929.939529433999</v>
      </c>
      <c r="P9" s="250">
        <f t="shared" ref="P9:P42" si="8">N$7*$F9</f>
        <v>8652.0460825174032</v>
      </c>
      <c r="R9" s="250">
        <f t="shared" ref="R9:R42" si="9">$C9*S$7</f>
        <v>0</v>
      </c>
      <c r="S9" s="250">
        <f t="shared" ref="S9:S42" si="10">$D9*S$7</f>
        <v>14983.13396795211</v>
      </c>
      <c r="T9" s="250">
        <f t="shared" ref="T9:T42" si="11">R9+S9</f>
        <v>14983.13396795211</v>
      </c>
      <c r="U9" s="250">
        <f t="shared" ref="U9:U42" si="12">S$7*$F9</f>
        <v>4999.4241368785479</v>
      </c>
      <c r="W9" s="250">
        <f t="shared" ref="W9:W42" si="13">$C9*X$7</f>
        <v>0</v>
      </c>
      <c r="X9" s="250">
        <f t="shared" ref="X9:X42" si="14">$D9*X$7</f>
        <v>14304.634984099119</v>
      </c>
      <c r="Y9" s="250">
        <f t="shared" ref="Y9:Y42" si="15">W9+X9</f>
        <v>14304.634984099119</v>
      </c>
      <c r="Z9" s="250">
        <f t="shared" ref="Z9:Z42" si="16">X$7*$F9</f>
        <v>4773.0292982568217</v>
      </c>
      <c r="AB9" s="250">
        <f t="shared" ref="AB9:AB42" si="17">$C9*AC$7</f>
        <v>0</v>
      </c>
      <c r="AC9" s="250">
        <f t="shared" ref="AC9:AC42" si="18">$D9*AC$7</f>
        <v>48626.564601659658</v>
      </c>
      <c r="AD9" s="250">
        <f t="shared" ref="AD9:AD42" si="19">AB9+AC9</f>
        <v>48626.564601659658</v>
      </c>
      <c r="AE9" s="250">
        <f t="shared" ref="AE9:AE42" si="20">AC$7*$F9</f>
        <v>16225.231736097783</v>
      </c>
      <c r="AG9" s="250">
        <f t="shared" ref="AG9:AG42" si="21">$C9*AH$7</f>
        <v>0</v>
      </c>
      <c r="AH9" s="250">
        <f t="shared" ref="AH9:AH42" si="22">$D9*AH$7</f>
        <v>33953.562463782931</v>
      </c>
      <c r="AI9" s="250">
        <f t="shared" ref="AI9:AI42" si="23">AG9+AH9</f>
        <v>33953.562463782931</v>
      </c>
      <c r="AJ9" s="250">
        <f t="shared" ref="AJ9:AJ42" si="24">AH$7*$F9</f>
        <v>11329.289324752062</v>
      </c>
      <c r="AL9" s="250">
        <f t="shared" ref="AL9:AL42" si="25">$C9*AM$7</f>
        <v>0</v>
      </c>
      <c r="AM9" s="250">
        <f t="shared" ref="AM9:AM42" si="26">$D9*AM$7</f>
        <v>19732.877390847993</v>
      </c>
      <c r="AN9" s="250">
        <f t="shared" ref="AN9:AN42" si="27">AL9+AM9</f>
        <v>19732.877390847993</v>
      </c>
      <c r="AO9" s="250">
        <f t="shared" ref="AO9:AO42" si="28">AM$7*$F9</f>
        <v>6584.2716035832318</v>
      </c>
      <c r="AQ9" s="250">
        <f t="shared" ref="AQ9:AQ42" si="29">$C9*AR$7</f>
        <v>0</v>
      </c>
      <c r="AR9" s="250">
        <f t="shared" ref="AR9:AR42" si="30">$D9*AR$7</f>
        <v>46092.299711886109</v>
      </c>
      <c r="AS9" s="250">
        <f t="shared" ref="AS9:AS42" si="31">AQ9+AR9</f>
        <v>46092.299711886109</v>
      </c>
      <c r="AT9" s="250">
        <f t="shared" ref="AT9:AT42" si="32">AR$7*$F9</f>
        <v>15379.623261510442</v>
      </c>
      <c r="AV9" s="250">
        <f t="shared" ref="AV9:AV42" si="33">$C9*AW$7</f>
        <v>0</v>
      </c>
      <c r="AW9" s="250">
        <f t="shared" ref="AW9:AW42" si="34">$D9*AW$7</f>
        <v>16101.825652511699</v>
      </c>
      <c r="AX9" s="250">
        <f t="shared" ref="AX9:AX42" si="35">AV9+AW9</f>
        <v>16101.825652511699</v>
      </c>
      <c r="AY9" s="250">
        <f t="shared" ref="AY9:AY42" si="36">AW$7*$F9</f>
        <v>5372.6981275853768</v>
      </c>
    </row>
    <row r="10" spans="1:51" x14ac:dyDescent="0.2">
      <c r="A10" s="28">
        <v>45748</v>
      </c>
      <c r="C10" s="3">
        <v>4160000</v>
      </c>
      <c r="D10" s="3">
        <v>2252650</v>
      </c>
      <c r="E10" s="3">
        <f t="shared" si="0"/>
        <v>6412650</v>
      </c>
      <c r="F10" s="3">
        <v>751642</v>
      </c>
      <c r="H10" s="136">
        <f t="shared" si="1"/>
        <v>405768.90654875024</v>
      </c>
      <c r="I10" s="136">
        <f t="shared" si="2"/>
        <v>219724.83830217362</v>
      </c>
      <c r="J10" s="136">
        <f t="shared" si="3"/>
        <v>625493.74485092389</v>
      </c>
      <c r="K10" s="5">
        <f t="shared" si="4"/>
        <v>73315.613571181675</v>
      </c>
      <c r="M10" s="250">
        <f t="shared" si="5"/>
        <v>47885.178985836872</v>
      </c>
      <c r="N10" s="250">
        <f t="shared" si="6"/>
        <v>25929.939529433999</v>
      </c>
      <c r="O10" s="250">
        <f t="shared" si="7"/>
        <v>73815.118515270879</v>
      </c>
      <c r="P10" s="250">
        <f t="shared" si="8"/>
        <v>8652.0460825174032</v>
      </c>
      <c r="R10" s="250">
        <f t="shared" si="9"/>
        <v>27669.561319637218</v>
      </c>
      <c r="S10" s="250">
        <f t="shared" si="10"/>
        <v>14983.13396795211</v>
      </c>
      <c r="T10" s="250">
        <f t="shared" si="11"/>
        <v>42652.695287589326</v>
      </c>
      <c r="U10" s="250">
        <f t="shared" si="12"/>
        <v>4999.4241368785479</v>
      </c>
      <c r="W10" s="250">
        <f t="shared" si="13"/>
        <v>26416.567835150749</v>
      </c>
      <c r="X10" s="250">
        <f t="shared" si="14"/>
        <v>14304.634984099119</v>
      </c>
      <c r="Y10" s="250">
        <f t="shared" si="15"/>
        <v>40721.202819249869</v>
      </c>
      <c r="Z10" s="250">
        <f t="shared" si="16"/>
        <v>4773.0292982568217</v>
      </c>
      <c r="AB10" s="250">
        <f t="shared" si="17"/>
        <v>89799.351316406974</v>
      </c>
      <c r="AC10" s="250">
        <f t="shared" si="18"/>
        <v>48626.564601659658</v>
      </c>
      <c r="AD10" s="250">
        <f t="shared" si="19"/>
        <v>138425.91591806663</v>
      </c>
      <c r="AE10" s="250">
        <f t="shared" si="20"/>
        <v>16225.231736097783</v>
      </c>
      <c r="AG10" s="250">
        <f t="shared" si="21"/>
        <v>62702.514749000955</v>
      </c>
      <c r="AH10" s="250">
        <f t="shared" si="22"/>
        <v>33953.562463782931</v>
      </c>
      <c r="AI10" s="250">
        <f t="shared" si="23"/>
        <v>96656.077212783886</v>
      </c>
      <c r="AJ10" s="250">
        <f t="shared" si="24"/>
        <v>11329.289324752062</v>
      </c>
      <c r="AL10" s="250">
        <f t="shared" si="25"/>
        <v>36440.978379210108</v>
      </c>
      <c r="AM10" s="250">
        <f t="shared" si="26"/>
        <v>19732.877390847993</v>
      </c>
      <c r="AN10" s="250">
        <f t="shared" si="27"/>
        <v>56173.8557700581</v>
      </c>
      <c r="AO10" s="250">
        <f t="shared" si="28"/>
        <v>6584.2716035832318</v>
      </c>
      <c r="AQ10" s="250">
        <f t="shared" si="29"/>
        <v>85119.289193370569</v>
      </c>
      <c r="AR10" s="250">
        <f t="shared" si="30"/>
        <v>46092.299711886109</v>
      </c>
      <c r="AS10" s="250">
        <f t="shared" si="31"/>
        <v>131211.58890525668</v>
      </c>
      <c r="AT10" s="250">
        <f t="shared" si="32"/>
        <v>15379.623261510442</v>
      </c>
      <c r="AV10" s="250">
        <f t="shared" si="33"/>
        <v>29735.464770136805</v>
      </c>
      <c r="AW10" s="250">
        <f t="shared" si="34"/>
        <v>16101.825652511699</v>
      </c>
      <c r="AX10" s="250">
        <f t="shared" si="35"/>
        <v>45837.290422648504</v>
      </c>
      <c r="AY10" s="250">
        <f t="shared" si="36"/>
        <v>5372.6981275853768</v>
      </c>
    </row>
    <row r="11" spans="1:51" x14ac:dyDescent="0.2">
      <c r="A11" s="28">
        <v>45931</v>
      </c>
      <c r="D11" s="3">
        <v>2148650</v>
      </c>
      <c r="E11" s="3">
        <f t="shared" si="0"/>
        <v>2148650</v>
      </c>
      <c r="F11" s="3">
        <v>751642</v>
      </c>
      <c r="H11" s="136">
        <f t="shared" si="1"/>
        <v>0</v>
      </c>
      <c r="I11" s="136">
        <f t="shared" si="2"/>
        <v>209580.61563845485</v>
      </c>
      <c r="J11" s="136">
        <f t="shared" si="3"/>
        <v>209580.61563845485</v>
      </c>
      <c r="K11" s="5">
        <f t="shared" si="4"/>
        <v>73315.613571181675</v>
      </c>
      <c r="M11" s="250">
        <f t="shared" si="5"/>
        <v>0</v>
      </c>
      <c r="N11" s="250">
        <f t="shared" si="6"/>
        <v>24732.810054788075</v>
      </c>
      <c r="O11" s="250">
        <f t="shared" si="7"/>
        <v>24732.810054788075</v>
      </c>
      <c r="P11" s="250">
        <f t="shared" si="8"/>
        <v>8652.0460825174032</v>
      </c>
      <c r="R11" s="250">
        <f t="shared" si="9"/>
        <v>0</v>
      </c>
      <c r="S11" s="250">
        <f t="shared" si="10"/>
        <v>14291.394934961179</v>
      </c>
      <c r="T11" s="250">
        <f t="shared" si="11"/>
        <v>14291.394934961179</v>
      </c>
      <c r="U11" s="250">
        <f t="shared" si="12"/>
        <v>4999.4241368785479</v>
      </c>
      <c r="W11" s="250">
        <f t="shared" si="13"/>
        <v>0</v>
      </c>
      <c r="X11" s="250">
        <f t="shared" si="14"/>
        <v>13644.220788220349</v>
      </c>
      <c r="Y11" s="250">
        <f t="shared" si="15"/>
        <v>13644.220788220349</v>
      </c>
      <c r="Z11" s="250">
        <f t="shared" si="16"/>
        <v>4773.0292982568217</v>
      </c>
      <c r="AB11" s="250">
        <f t="shared" si="17"/>
        <v>0</v>
      </c>
      <c r="AC11" s="250">
        <f t="shared" si="18"/>
        <v>46381.580818749484</v>
      </c>
      <c r="AD11" s="250">
        <f t="shared" si="19"/>
        <v>46381.580818749484</v>
      </c>
      <c r="AE11" s="250">
        <f t="shared" si="20"/>
        <v>16225.231736097783</v>
      </c>
      <c r="AG11" s="250">
        <f t="shared" si="21"/>
        <v>0</v>
      </c>
      <c r="AH11" s="250">
        <f t="shared" si="22"/>
        <v>32385.99959505791</v>
      </c>
      <c r="AI11" s="250">
        <f t="shared" si="23"/>
        <v>32385.99959505791</v>
      </c>
      <c r="AJ11" s="250">
        <f t="shared" si="24"/>
        <v>11329.289324752062</v>
      </c>
      <c r="AL11" s="250">
        <f t="shared" si="25"/>
        <v>0</v>
      </c>
      <c r="AM11" s="250">
        <f t="shared" si="26"/>
        <v>18821.852931367739</v>
      </c>
      <c r="AN11" s="250">
        <f t="shared" si="27"/>
        <v>18821.852931367739</v>
      </c>
      <c r="AO11" s="250">
        <f t="shared" si="28"/>
        <v>6584.2716035832318</v>
      </c>
      <c r="AQ11" s="250">
        <f t="shared" si="29"/>
        <v>0</v>
      </c>
      <c r="AR11" s="250">
        <f t="shared" si="30"/>
        <v>43964.31748205184</v>
      </c>
      <c r="AS11" s="250">
        <f t="shared" si="31"/>
        <v>43964.31748205184</v>
      </c>
      <c r="AT11" s="250">
        <f t="shared" si="32"/>
        <v>15379.623261510442</v>
      </c>
      <c r="AV11" s="250">
        <f t="shared" si="33"/>
        <v>0</v>
      </c>
      <c r="AW11" s="250">
        <f t="shared" si="34"/>
        <v>15358.439033258281</v>
      </c>
      <c r="AX11" s="250">
        <f t="shared" si="35"/>
        <v>15358.439033258281</v>
      </c>
      <c r="AY11" s="250">
        <f t="shared" si="36"/>
        <v>5372.6981275853768</v>
      </c>
    </row>
    <row r="12" spans="1:51" x14ac:dyDescent="0.2">
      <c r="A12" s="28">
        <v>46113</v>
      </c>
      <c r="B12" s="29"/>
      <c r="C12" s="3">
        <v>4370000</v>
      </c>
      <c r="D12" s="3">
        <v>2148650</v>
      </c>
      <c r="E12" s="3">
        <f t="shared" si="0"/>
        <v>6518650</v>
      </c>
      <c r="F12" s="3">
        <v>751642</v>
      </c>
      <c r="H12" s="136">
        <f t="shared" si="1"/>
        <v>426252.43308125931</v>
      </c>
      <c r="I12" s="136">
        <f t="shared" si="2"/>
        <v>209580.61563845485</v>
      </c>
      <c r="J12" s="136">
        <f t="shared" si="3"/>
        <v>635833.04871971416</v>
      </c>
      <c r="K12" s="5">
        <f t="shared" si="4"/>
        <v>73315.613571181675</v>
      </c>
      <c r="M12" s="250">
        <f t="shared" si="5"/>
        <v>50302.459655794984</v>
      </c>
      <c r="N12" s="250">
        <f t="shared" si="6"/>
        <v>24732.810054788075</v>
      </c>
      <c r="O12" s="250">
        <f t="shared" si="7"/>
        <v>75035.269710583059</v>
      </c>
      <c r="P12" s="250">
        <f t="shared" si="8"/>
        <v>8652.0460825174032</v>
      </c>
      <c r="R12" s="250">
        <f t="shared" si="9"/>
        <v>29066.342059330444</v>
      </c>
      <c r="S12" s="250">
        <f t="shared" si="10"/>
        <v>14291.394934961179</v>
      </c>
      <c r="T12" s="250">
        <f t="shared" si="11"/>
        <v>43357.736994291627</v>
      </c>
      <c r="U12" s="250">
        <f t="shared" si="12"/>
        <v>4999.4241368785479</v>
      </c>
      <c r="W12" s="250">
        <f t="shared" si="13"/>
        <v>27750.096499905954</v>
      </c>
      <c r="X12" s="250">
        <f t="shared" si="14"/>
        <v>13644.220788220349</v>
      </c>
      <c r="Y12" s="250">
        <f t="shared" si="15"/>
        <v>41394.317288126302</v>
      </c>
      <c r="Z12" s="250">
        <f t="shared" si="16"/>
        <v>4773.0292982568217</v>
      </c>
      <c r="AB12" s="250">
        <f t="shared" si="17"/>
        <v>94332.491647283299</v>
      </c>
      <c r="AC12" s="250">
        <f t="shared" si="18"/>
        <v>46381.580818749484</v>
      </c>
      <c r="AD12" s="250">
        <f t="shared" si="19"/>
        <v>140714.07246603278</v>
      </c>
      <c r="AE12" s="250">
        <f t="shared" si="20"/>
        <v>16225.231736097783</v>
      </c>
      <c r="AG12" s="250">
        <f t="shared" si="21"/>
        <v>65867.785926234181</v>
      </c>
      <c r="AH12" s="250">
        <f t="shared" si="22"/>
        <v>32385.99959505791</v>
      </c>
      <c r="AI12" s="250">
        <f t="shared" si="23"/>
        <v>98253.785521292099</v>
      </c>
      <c r="AJ12" s="250">
        <f t="shared" si="24"/>
        <v>11329.289324752062</v>
      </c>
      <c r="AL12" s="250">
        <f t="shared" si="25"/>
        <v>38280.546999314465</v>
      </c>
      <c r="AM12" s="250">
        <f t="shared" si="26"/>
        <v>18821.852931367739</v>
      </c>
      <c r="AN12" s="250">
        <f t="shared" si="27"/>
        <v>57102.399930682208</v>
      </c>
      <c r="AO12" s="250">
        <f t="shared" si="28"/>
        <v>6584.2716035832318</v>
      </c>
      <c r="AQ12" s="250">
        <f t="shared" si="29"/>
        <v>89416.17638822821</v>
      </c>
      <c r="AR12" s="250">
        <f t="shared" si="30"/>
        <v>43964.31748205184</v>
      </c>
      <c r="AS12" s="250">
        <f t="shared" si="31"/>
        <v>133380.49387028004</v>
      </c>
      <c r="AT12" s="250">
        <f t="shared" si="32"/>
        <v>15379.623261510442</v>
      </c>
      <c r="AV12" s="250">
        <f t="shared" si="33"/>
        <v>31236.533905167747</v>
      </c>
      <c r="AW12" s="250">
        <f t="shared" si="34"/>
        <v>15358.439033258281</v>
      </c>
      <c r="AX12" s="250">
        <f t="shared" si="35"/>
        <v>46594.972938426028</v>
      </c>
      <c r="AY12" s="250">
        <f t="shared" si="36"/>
        <v>5372.6981275853768</v>
      </c>
    </row>
    <row r="13" spans="1:51" x14ac:dyDescent="0.2">
      <c r="A13" s="28">
        <v>46296</v>
      </c>
      <c r="D13" s="3">
        <v>2039400</v>
      </c>
      <c r="E13" s="3">
        <f t="shared" si="0"/>
        <v>2039400</v>
      </c>
      <c r="F13" s="3">
        <v>751642</v>
      </c>
      <c r="H13" s="136">
        <f t="shared" si="1"/>
        <v>0</v>
      </c>
      <c r="I13" s="136">
        <f t="shared" si="2"/>
        <v>198924.30481142338</v>
      </c>
      <c r="J13" s="136">
        <f t="shared" si="3"/>
        <v>198924.30481142338</v>
      </c>
      <c r="K13" s="5">
        <f t="shared" si="4"/>
        <v>73315.613571181675</v>
      </c>
      <c r="M13" s="250">
        <f t="shared" si="5"/>
        <v>0</v>
      </c>
      <c r="N13" s="250">
        <f t="shared" si="6"/>
        <v>23475.248563393201</v>
      </c>
      <c r="O13" s="250">
        <f t="shared" si="7"/>
        <v>23475.248563393201</v>
      </c>
      <c r="P13" s="250">
        <f t="shared" si="8"/>
        <v>8652.0460825174032</v>
      </c>
      <c r="R13" s="250">
        <f t="shared" si="9"/>
        <v>0</v>
      </c>
      <c r="S13" s="250">
        <f t="shared" si="10"/>
        <v>13564.736383477919</v>
      </c>
      <c r="T13" s="250">
        <f t="shared" si="11"/>
        <v>13564.736383477919</v>
      </c>
      <c r="U13" s="250">
        <f t="shared" si="12"/>
        <v>4999.4241368785479</v>
      </c>
      <c r="W13" s="250">
        <f t="shared" si="13"/>
        <v>0</v>
      </c>
      <c r="X13" s="250">
        <f t="shared" si="14"/>
        <v>12950.468375722701</v>
      </c>
      <c r="Y13" s="250">
        <f t="shared" si="15"/>
        <v>12950.468375722701</v>
      </c>
      <c r="Z13" s="250">
        <f t="shared" si="16"/>
        <v>4773.0292982568217</v>
      </c>
      <c r="AB13" s="250">
        <f t="shared" si="17"/>
        <v>0</v>
      </c>
      <c r="AC13" s="250">
        <f t="shared" si="18"/>
        <v>44023.268527567401</v>
      </c>
      <c r="AD13" s="250">
        <f t="shared" si="19"/>
        <v>44023.268527567401</v>
      </c>
      <c r="AE13" s="250">
        <f t="shared" si="20"/>
        <v>16225.231736097783</v>
      </c>
      <c r="AG13" s="250">
        <f t="shared" si="21"/>
        <v>0</v>
      </c>
      <c r="AH13" s="250">
        <f t="shared" si="22"/>
        <v>30739.304946902055</v>
      </c>
      <c r="AI13" s="250">
        <f t="shared" si="23"/>
        <v>30739.304946902055</v>
      </c>
      <c r="AJ13" s="250">
        <f t="shared" si="24"/>
        <v>11329.289324752062</v>
      </c>
      <c r="AL13" s="250">
        <f t="shared" si="25"/>
        <v>0</v>
      </c>
      <c r="AM13" s="250">
        <f t="shared" si="26"/>
        <v>17864.839256384879</v>
      </c>
      <c r="AN13" s="250">
        <f t="shared" si="27"/>
        <v>17864.839256384879</v>
      </c>
      <c r="AO13" s="250">
        <f t="shared" si="28"/>
        <v>6584.2716035832318</v>
      </c>
      <c r="AQ13" s="250">
        <f t="shared" si="29"/>
        <v>0</v>
      </c>
      <c r="AR13" s="250">
        <f t="shared" si="30"/>
        <v>41728.913072346135</v>
      </c>
      <c r="AS13" s="250">
        <f t="shared" si="31"/>
        <v>41728.913072346135</v>
      </c>
      <c r="AT13" s="250">
        <f t="shared" si="32"/>
        <v>15379.623261510442</v>
      </c>
      <c r="AV13" s="250">
        <f t="shared" si="33"/>
        <v>0</v>
      </c>
      <c r="AW13" s="250">
        <f t="shared" si="34"/>
        <v>14577.525685629087</v>
      </c>
      <c r="AX13" s="250">
        <f t="shared" si="35"/>
        <v>14577.525685629087</v>
      </c>
      <c r="AY13" s="250">
        <f t="shared" si="36"/>
        <v>5372.6981275853768</v>
      </c>
    </row>
    <row r="14" spans="1:51" x14ac:dyDescent="0.2">
      <c r="A14" s="28">
        <v>46478</v>
      </c>
      <c r="C14" s="3">
        <v>4585000</v>
      </c>
      <c r="D14" s="3">
        <v>2039400</v>
      </c>
      <c r="E14" s="3">
        <f t="shared" si="0"/>
        <v>6624400</v>
      </c>
      <c r="F14" s="3">
        <v>751642</v>
      </c>
      <c r="H14" s="136">
        <f t="shared" si="1"/>
        <v>447223.6626264471</v>
      </c>
      <c r="I14" s="136">
        <f t="shared" si="2"/>
        <v>198924.30481142338</v>
      </c>
      <c r="J14" s="136">
        <f t="shared" si="3"/>
        <v>646147.96743787045</v>
      </c>
      <c r="K14" s="5">
        <f t="shared" si="4"/>
        <v>73315.613571181675</v>
      </c>
      <c r="M14" s="250">
        <f t="shared" si="5"/>
        <v>52777.294627418763</v>
      </c>
      <c r="N14" s="250">
        <f t="shared" si="6"/>
        <v>23475.248563393201</v>
      </c>
      <c r="O14" s="250">
        <f t="shared" si="7"/>
        <v>76252.543190811964</v>
      </c>
      <c r="P14" s="250">
        <f t="shared" si="8"/>
        <v>8652.0460825174032</v>
      </c>
      <c r="R14" s="250">
        <f t="shared" si="9"/>
        <v>30496.379483302077</v>
      </c>
      <c r="S14" s="250">
        <f t="shared" si="10"/>
        <v>13564.736383477919</v>
      </c>
      <c r="T14" s="250">
        <f t="shared" si="11"/>
        <v>44061.115866779997</v>
      </c>
      <c r="U14" s="250">
        <f t="shared" si="12"/>
        <v>4999.4241368785479</v>
      </c>
      <c r="W14" s="250">
        <f t="shared" si="13"/>
        <v>29115.37584715533</v>
      </c>
      <c r="X14" s="250">
        <f t="shared" si="14"/>
        <v>12950.468375722701</v>
      </c>
      <c r="Y14" s="250">
        <f t="shared" si="15"/>
        <v>42065.844222878033</v>
      </c>
      <c r="Z14" s="250">
        <f t="shared" si="16"/>
        <v>4773.0292982568217</v>
      </c>
      <c r="AB14" s="250">
        <f t="shared" si="17"/>
        <v>98973.563890799516</v>
      </c>
      <c r="AC14" s="250">
        <f t="shared" si="18"/>
        <v>44023.268527567401</v>
      </c>
      <c r="AD14" s="250">
        <f t="shared" si="19"/>
        <v>142996.83241836692</v>
      </c>
      <c r="AE14" s="250">
        <f t="shared" si="20"/>
        <v>16225.231736097783</v>
      </c>
      <c r="AG14" s="250">
        <f t="shared" si="21"/>
        <v>69108.42070292533</v>
      </c>
      <c r="AH14" s="250">
        <f t="shared" si="22"/>
        <v>30739.304946902055</v>
      </c>
      <c r="AI14" s="250">
        <f t="shared" si="23"/>
        <v>99847.725649827393</v>
      </c>
      <c r="AJ14" s="250">
        <f t="shared" si="24"/>
        <v>11329.289324752062</v>
      </c>
      <c r="AL14" s="250">
        <f t="shared" si="25"/>
        <v>40163.914872278445</v>
      </c>
      <c r="AM14" s="250">
        <f t="shared" si="26"/>
        <v>17864.839256384879</v>
      </c>
      <c r="AN14" s="250">
        <f t="shared" si="27"/>
        <v>58028.75412866332</v>
      </c>
      <c r="AO14" s="250">
        <f t="shared" si="28"/>
        <v>6584.2716035832318</v>
      </c>
      <c r="AQ14" s="250">
        <f t="shared" si="29"/>
        <v>93815.370421058658</v>
      </c>
      <c r="AR14" s="250">
        <f t="shared" si="30"/>
        <v>41728.913072346135</v>
      </c>
      <c r="AS14" s="250">
        <f t="shared" si="31"/>
        <v>135544.2834934048</v>
      </c>
      <c r="AT14" s="250">
        <f t="shared" si="32"/>
        <v>15379.623261510442</v>
      </c>
      <c r="AV14" s="250">
        <f t="shared" si="33"/>
        <v>32773.342781508953</v>
      </c>
      <c r="AW14" s="250">
        <f t="shared" si="34"/>
        <v>14577.525685629087</v>
      </c>
      <c r="AX14" s="250">
        <f t="shared" si="35"/>
        <v>47350.86846713804</v>
      </c>
      <c r="AY14" s="250">
        <f t="shared" si="36"/>
        <v>5372.6981275853768</v>
      </c>
    </row>
    <row r="15" spans="1:51" x14ac:dyDescent="0.2">
      <c r="A15" s="28">
        <v>46661</v>
      </c>
      <c r="D15" s="3">
        <v>1924775</v>
      </c>
      <c r="E15" s="3">
        <f t="shared" si="0"/>
        <v>1924775</v>
      </c>
      <c r="F15" s="3">
        <v>751642</v>
      </c>
      <c r="H15" s="136">
        <f t="shared" si="1"/>
        <v>0</v>
      </c>
      <c r="I15" s="136">
        <f t="shared" si="2"/>
        <v>187743.71324576222</v>
      </c>
      <c r="J15" s="136">
        <f t="shared" si="3"/>
        <v>187743.71324576222</v>
      </c>
      <c r="K15" s="5">
        <f t="shared" si="4"/>
        <v>73315.613571181675</v>
      </c>
      <c r="M15" s="250">
        <f t="shared" si="5"/>
        <v>0</v>
      </c>
      <c r="N15" s="250">
        <f t="shared" si="6"/>
        <v>22155.816197707732</v>
      </c>
      <c r="O15" s="250">
        <f t="shared" si="7"/>
        <v>22155.816197707732</v>
      </c>
      <c r="P15" s="250">
        <f t="shared" si="8"/>
        <v>8652.0460825174032</v>
      </c>
      <c r="R15" s="250">
        <f t="shared" si="9"/>
        <v>0</v>
      </c>
      <c r="S15" s="250">
        <f t="shared" si="10"/>
        <v>12802.326896395367</v>
      </c>
      <c r="T15" s="250">
        <f t="shared" si="11"/>
        <v>12802.326896395367</v>
      </c>
      <c r="U15" s="250">
        <f t="shared" si="12"/>
        <v>4999.4241368785479</v>
      </c>
      <c r="W15" s="250">
        <f t="shared" si="13"/>
        <v>0</v>
      </c>
      <c r="X15" s="250">
        <f t="shared" si="14"/>
        <v>12222.583979543817</v>
      </c>
      <c r="Y15" s="250">
        <f t="shared" si="15"/>
        <v>12222.583979543817</v>
      </c>
      <c r="Z15" s="250">
        <f t="shared" si="16"/>
        <v>4773.0292982568217</v>
      </c>
      <c r="AB15" s="250">
        <f t="shared" si="17"/>
        <v>0</v>
      </c>
      <c r="AC15" s="250">
        <f t="shared" si="18"/>
        <v>41548.929430297416</v>
      </c>
      <c r="AD15" s="250">
        <f t="shared" si="19"/>
        <v>41548.929430297416</v>
      </c>
      <c r="AE15" s="250">
        <f t="shared" si="20"/>
        <v>16225.231736097783</v>
      </c>
      <c r="AG15" s="250">
        <f t="shared" si="21"/>
        <v>0</v>
      </c>
      <c r="AH15" s="250">
        <f t="shared" si="22"/>
        <v>29011.594429328921</v>
      </c>
      <c r="AI15" s="250">
        <f t="shared" si="23"/>
        <v>29011.594429328921</v>
      </c>
      <c r="AJ15" s="250">
        <f t="shared" si="24"/>
        <v>11329.289324752062</v>
      </c>
      <c r="AL15" s="250">
        <f t="shared" si="25"/>
        <v>0</v>
      </c>
      <c r="AM15" s="250">
        <f t="shared" si="26"/>
        <v>16860.741384577916</v>
      </c>
      <c r="AN15" s="250">
        <f t="shared" si="27"/>
        <v>16860.741384577916</v>
      </c>
      <c r="AO15" s="250">
        <f t="shared" si="28"/>
        <v>6584.2716035832318</v>
      </c>
      <c r="AQ15" s="250">
        <f t="shared" si="29"/>
        <v>0</v>
      </c>
      <c r="AR15" s="250">
        <f t="shared" si="30"/>
        <v>39383.528811819669</v>
      </c>
      <c r="AS15" s="250">
        <f t="shared" si="31"/>
        <v>39383.528811819669</v>
      </c>
      <c r="AT15" s="250">
        <f t="shared" si="32"/>
        <v>15379.623261510442</v>
      </c>
      <c r="AV15" s="250">
        <f t="shared" si="33"/>
        <v>0</v>
      </c>
      <c r="AW15" s="250">
        <f t="shared" si="34"/>
        <v>13758.192116091363</v>
      </c>
      <c r="AX15" s="250">
        <f t="shared" si="35"/>
        <v>13758.192116091363</v>
      </c>
      <c r="AY15" s="250">
        <f t="shared" si="36"/>
        <v>5372.6981275853768</v>
      </c>
    </row>
    <row r="16" spans="1:51" x14ac:dyDescent="0.2">
      <c r="A16" s="28">
        <v>46844</v>
      </c>
      <c r="C16" s="3">
        <v>4815000</v>
      </c>
      <c r="D16" s="3">
        <v>1924775</v>
      </c>
      <c r="E16" s="3">
        <f t="shared" si="0"/>
        <v>6739775</v>
      </c>
      <c r="F16" s="3">
        <v>751642</v>
      </c>
      <c r="H16" s="136">
        <f t="shared" si="1"/>
        <v>469658.0012096712</v>
      </c>
      <c r="I16" s="136">
        <f t="shared" si="2"/>
        <v>187743.71324576222</v>
      </c>
      <c r="J16" s="136">
        <f t="shared" si="3"/>
        <v>657401.71445543342</v>
      </c>
      <c r="K16" s="5">
        <f t="shared" si="4"/>
        <v>73315.613571181675</v>
      </c>
      <c r="M16" s="250">
        <f t="shared" si="5"/>
        <v>55424.792504039557</v>
      </c>
      <c r="N16" s="250">
        <f t="shared" si="6"/>
        <v>22155.816197707732</v>
      </c>
      <c r="O16" s="250">
        <f t="shared" si="7"/>
        <v>77580.608701747289</v>
      </c>
      <c r="P16" s="250">
        <f t="shared" si="8"/>
        <v>8652.0460825174032</v>
      </c>
      <c r="R16" s="250">
        <f t="shared" si="9"/>
        <v>32026.186960108942</v>
      </c>
      <c r="S16" s="250">
        <f t="shared" si="10"/>
        <v>12802.326896395367</v>
      </c>
      <c r="T16" s="250">
        <f t="shared" si="11"/>
        <v>44828.513856504309</v>
      </c>
      <c r="U16" s="250">
        <f t="shared" si="12"/>
        <v>4999.4241368785479</v>
      </c>
      <c r="W16" s="250">
        <f t="shared" si="13"/>
        <v>30575.907241887224</v>
      </c>
      <c r="X16" s="250">
        <f t="shared" si="14"/>
        <v>12222.583979543817</v>
      </c>
      <c r="Y16" s="250">
        <f t="shared" si="15"/>
        <v>42798.491221431039</v>
      </c>
      <c r="Z16" s="250">
        <f t="shared" si="16"/>
        <v>4773.0292982568217</v>
      </c>
      <c r="AB16" s="250">
        <f t="shared" si="17"/>
        <v>103938.43187223548</v>
      </c>
      <c r="AC16" s="250">
        <f t="shared" si="18"/>
        <v>41548.929430297416</v>
      </c>
      <c r="AD16" s="250">
        <f t="shared" si="19"/>
        <v>145487.3613025329</v>
      </c>
      <c r="AE16" s="250">
        <f t="shared" si="20"/>
        <v>16225.231736097783</v>
      </c>
      <c r="AG16" s="250">
        <f t="shared" si="21"/>
        <v>72575.146277990294</v>
      </c>
      <c r="AH16" s="250">
        <f t="shared" si="22"/>
        <v>29011.594429328921</v>
      </c>
      <c r="AI16" s="250">
        <f t="shared" si="23"/>
        <v>101586.74070731922</v>
      </c>
      <c r="AJ16" s="250">
        <f t="shared" si="24"/>
        <v>11329.289324752062</v>
      </c>
      <c r="AL16" s="250">
        <f t="shared" si="25"/>
        <v>42178.680503821313</v>
      </c>
      <c r="AM16" s="250">
        <f t="shared" si="26"/>
        <v>16860.741384577916</v>
      </c>
      <c r="AN16" s="250">
        <f t="shared" si="27"/>
        <v>59039.421888399229</v>
      </c>
      <c r="AO16" s="250">
        <f t="shared" si="28"/>
        <v>6584.2716035832318</v>
      </c>
      <c r="AQ16" s="250">
        <f t="shared" si="29"/>
        <v>98521.484967807512</v>
      </c>
      <c r="AR16" s="250">
        <f t="shared" si="30"/>
        <v>39383.528811819669</v>
      </c>
      <c r="AS16" s="250">
        <f t="shared" si="31"/>
        <v>137905.01377962719</v>
      </c>
      <c r="AT16" s="250">
        <f t="shared" si="32"/>
        <v>15379.623261510442</v>
      </c>
      <c r="AV16" s="250">
        <f t="shared" si="33"/>
        <v>34417.370881780938</v>
      </c>
      <c r="AW16" s="250">
        <f t="shared" si="34"/>
        <v>13758.192116091363</v>
      </c>
      <c r="AX16" s="250">
        <f t="shared" si="35"/>
        <v>48175.562997872301</v>
      </c>
      <c r="AY16" s="250">
        <f t="shared" si="36"/>
        <v>5372.6981275853768</v>
      </c>
    </row>
    <row r="17" spans="1:51" x14ac:dyDescent="0.2">
      <c r="A17" s="28">
        <v>47027</v>
      </c>
      <c r="D17" s="3">
        <v>1804400</v>
      </c>
      <c r="E17" s="3">
        <f t="shared" si="0"/>
        <v>1804400</v>
      </c>
      <c r="F17" s="3">
        <v>751642</v>
      </c>
      <c r="H17" s="136">
        <f t="shared" si="1"/>
        <v>0</v>
      </c>
      <c r="I17" s="136">
        <f t="shared" si="2"/>
        <v>176002.26321552039</v>
      </c>
      <c r="J17" s="136">
        <f t="shared" si="3"/>
        <v>176002.26321552039</v>
      </c>
      <c r="K17" s="5">
        <f t="shared" si="4"/>
        <v>73315.613571181675</v>
      </c>
      <c r="M17" s="250">
        <f t="shared" si="5"/>
        <v>0</v>
      </c>
      <c r="N17" s="250">
        <f t="shared" si="6"/>
        <v>20770.196385106745</v>
      </c>
      <c r="O17" s="250">
        <f t="shared" si="7"/>
        <v>20770.196385106745</v>
      </c>
      <c r="P17" s="250">
        <f t="shared" si="8"/>
        <v>8652.0460825174032</v>
      </c>
      <c r="R17" s="250">
        <f t="shared" si="9"/>
        <v>0</v>
      </c>
      <c r="S17" s="250">
        <f t="shared" si="10"/>
        <v>12001.672222392643</v>
      </c>
      <c r="T17" s="250">
        <f t="shared" si="11"/>
        <v>12001.672222392643</v>
      </c>
      <c r="U17" s="250">
        <f t="shared" si="12"/>
        <v>4999.4241368785479</v>
      </c>
      <c r="W17" s="250">
        <f t="shared" si="13"/>
        <v>0</v>
      </c>
      <c r="X17" s="250">
        <f t="shared" si="14"/>
        <v>11458.186298496637</v>
      </c>
      <c r="Y17" s="250">
        <f t="shared" si="15"/>
        <v>11458.186298496637</v>
      </c>
      <c r="Z17" s="250">
        <f t="shared" si="16"/>
        <v>4773.0292982568217</v>
      </c>
      <c r="AB17" s="250">
        <f t="shared" si="17"/>
        <v>0</v>
      </c>
      <c r="AC17" s="250">
        <f t="shared" si="18"/>
        <v>38950.468633491524</v>
      </c>
      <c r="AD17" s="250">
        <f t="shared" si="19"/>
        <v>38950.468633491524</v>
      </c>
      <c r="AE17" s="250">
        <f t="shared" si="20"/>
        <v>16225.231736097783</v>
      </c>
      <c r="AG17" s="250">
        <f t="shared" si="21"/>
        <v>0</v>
      </c>
      <c r="AH17" s="250">
        <f t="shared" si="22"/>
        <v>27197.215772379164</v>
      </c>
      <c r="AI17" s="250">
        <f t="shared" si="23"/>
        <v>27197.215772379164</v>
      </c>
      <c r="AJ17" s="250">
        <f t="shared" si="24"/>
        <v>11329.289324752062</v>
      </c>
      <c r="AL17" s="250">
        <f t="shared" si="25"/>
        <v>0</v>
      </c>
      <c r="AM17" s="250">
        <f t="shared" si="26"/>
        <v>15806.274371982385</v>
      </c>
      <c r="AN17" s="250">
        <f t="shared" si="27"/>
        <v>15806.274371982385</v>
      </c>
      <c r="AO17" s="250">
        <f t="shared" si="28"/>
        <v>6584.2716035832318</v>
      </c>
      <c r="AQ17" s="250">
        <f t="shared" si="29"/>
        <v>0</v>
      </c>
      <c r="AR17" s="250">
        <f t="shared" si="30"/>
        <v>36920.491687624482</v>
      </c>
      <c r="AS17" s="250">
        <f t="shared" si="31"/>
        <v>36920.491687624482</v>
      </c>
      <c r="AT17" s="250">
        <f t="shared" si="32"/>
        <v>15379.623261510442</v>
      </c>
      <c r="AV17" s="250">
        <f t="shared" si="33"/>
        <v>0</v>
      </c>
      <c r="AW17" s="250">
        <f t="shared" si="34"/>
        <v>12897.757844046839</v>
      </c>
      <c r="AX17" s="250">
        <f t="shared" si="35"/>
        <v>12897.757844046839</v>
      </c>
      <c r="AY17" s="250">
        <f t="shared" si="36"/>
        <v>5372.6981275853768</v>
      </c>
    </row>
    <row r="18" spans="1:51" x14ac:dyDescent="0.2">
      <c r="A18" s="28">
        <v>47209</v>
      </c>
      <c r="C18" s="3">
        <v>5055000</v>
      </c>
      <c r="D18" s="3">
        <v>1804400</v>
      </c>
      <c r="E18" s="3">
        <f t="shared" si="0"/>
        <v>6859400</v>
      </c>
      <c r="F18" s="3">
        <v>751642</v>
      </c>
      <c r="H18" s="136">
        <f t="shared" si="1"/>
        <v>493067.74581825308</v>
      </c>
      <c r="I18" s="136">
        <f t="shared" si="2"/>
        <v>176002.26321552039</v>
      </c>
      <c r="J18" s="136">
        <f t="shared" si="3"/>
        <v>669070.00903377344</v>
      </c>
      <c r="K18" s="5">
        <f t="shared" si="4"/>
        <v>73315.613571181675</v>
      </c>
      <c r="M18" s="250">
        <f t="shared" si="5"/>
        <v>58187.398983991683</v>
      </c>
      <c r="N18" s="250">
        <f t="shared" si="6"/>
        <v>20770.196385106745</v>
      </c>
      <c r="O18" s="250">
        <f t="shared" si="7"/>
        <v>78957.595369098432</v>
      </c>
      <c r="P18" s="250">
        <f t="shared" si="8"/>
        <v>8652.0460825174032</v>
      </c>
      <c r="R18" s="250">
        <f t="shared" si="9"/>
        <v>33622.507805472625</v>
      </c>
      <c r="S18" s="250">
        <f t="shared" si="10"/>
        <v>12001.672222392643</v>
      </c>
      <c r="T18" s="250">
        <f t="shared" si="11"/>
        <v>45624.180027865266</v>
      </c>
      <c r="U18" s="250">
        <f t="shared" si="12"/>
        <v>4999.4241368785479</v>
      </c>
      <c r="W18" s="250">
        <f t="shared" si="13"/>
        <v>32099.940001607458</v>
      </c>
      <c r="X18" s="250">
        <f t="shared" si="14"/>
        <v>11458.186298496637</v>
      </c>
      <c r="Y18" s="250">
        <f t="shared" si="15"/>
        <v>43558.126300104093</v>
      </c>
      <c r="Z18" s="250">
        <f t="shared" si="16"/>
        <v>4773.0292982568217</v>
      </c>
      <c r="AB18" s="250">
        <f t="shared" si="17"/>
        <v>109119.16367895127</v>
      </c>
      <c r="AC18" s="250">
        <f t="shared" si="18"/>
        <v>38950.468633491524</v>
      </c>
      <c r="AD18" s="250">
        <f t="shared" si="19"/>
        <v>148069.63231244279</v>
      </c>
      <c r="AE18" s="250">
        <f t="shared" si="20"/>
        <v>16225.231736097783</v>
      </c>
      <c r="AG18" s="250">
        <f t="shared" si="21"/>
        <v>76192.599051971119</v>
      </c>
      <c r="AH18" s="250">
        <f t="shared" si="22"/>
        <v>27197.215772379164</v>
      </c>
      <c r="AI18" s="250">
        <f t="shared" si="23"/>
        <v>103389.81482435028</v>
      </c>
      <c r="AJ18" s="250">
        <f t="shared" si="24"/>
        <v>11329.289324752062</v>
      </c>
      <c r="AL18" s="250">
        <f t="shared" si="25"/>
        <v>44281.044641083434</v>
      </c>
      <c r="AM18" s="250">
        <f t="shared" si="26"/>
        <v>15806.274371982385</v>
      </c>
      <c r="AN18" s="250">
        <f t="shared" si="27"/>
        <v>60087.319013065819</v>
      </c>
      <c r="AO18" s="250">
        <f t="shared" si="28"/>
        <v>6584.2716035832318</v>
      </c>
      <c r="AQ18" s="250">
        <f t="shared" si="29"/>
        <v>103432.21319050198</v>
      </c>
      <c r="AR18" s="250">
        <f t="shared" si="30"/>
        <v>36920.491687624482</v>
      </c>
      <c r="AS18" s="250">
        <f t="shared" si="31"/>
        <v>140352.70487812645</v>
      </c>
      <c r="AT18" s="250">
        <f t="shared" si="32"/>
        <v>15379.623261510442</v>
      </c>
      <c r="AV18" s="250">
        <f t="shared" si="33"/>
        <v>36132.878464673449</v>
      </c>
      <c r="AW18" s="250">
        <f t="shared" si="34"/>
        <v>12897.757844046839</v>
      </c>
      <c r="AX18" s="250">
        <f t="shared" si="35"/>
        <v>49030.636308720292</v>
      </c>
      <c r="AY18" s="250">
        <f t="shared" si="36"/>
        <v>5372.6981275853768</v>
      </c>
    </row>
    <row r="19" spans="1:51" x14ac:dyDescent="0.2">
      <c r="A19" s="28">
        <v>47392</v>
      </c>
      <c r="D19" s="3">
        <v>1678025</v>
      </c>
      <c r="E19" s="3">
        <f t="shared" si="0"/>
        <v>1678025</v>
      </c>
      <c r="F19" s="3">
        <v>751642</v>
      </c>
      <c r="H19" s="136">
        <f t="shared" si="1"/>
        <v>0</v>
      </c>
      <c r="I19" s="136">
        <f t="shared" si="2"/>
        <v>163675.56957006408</v>
      </c>
      <c r="J19" s="136">
        <f t="shared" si="3"/>
        <v>163675.56957006408</v>
      </c>
      <c r="K19" s="5">
        <f t="shared" si="4"/>
        <v>73315.613571181675</v>
      </c>
      <c r="M19" s="250">
        <f t="shared" si="5"/>
        <v>0</v>
      </c>
      <c r="N19" s="250">
        <f t="shared" si="6"/>
        <v>19315.511410506952</v>
      </c>
      <c r="O19" s="250">
        <f t="shared" si="7"/>
        <v>19315.511410506952</v>
      </c>
      <c r="P19" s="250">
        <f t="shared" si="8"/>
        <v>8652.0460825174032</v>
      </c>
      <c r="R19" s="250">
        <f t="shared" si="9"/>
        <v>0</v>
      </c>
      <c r="S19" s="250">
        <f t="shared" si="10"/>
        <v>11161.109527255827</v>
      </c>
      <c r="T19" s="250">
        <f t="shared" si="11"/>
        <v>11161.109527255827</v>
      </c>
      <c r="U19" s="250">
        <f t="shared" si="12"/>
        <v>4999.4241368785479</v>
      </c>
      <c r="W19" s="250">
        <f t="shared" si="13"/>
        <v>0</v>
      </c>
      <c r="X19" s="250">
        <f t="shared" si="14"/>
        <v>10655.687798456451</v>
      </c>
      <c r="Y19" s="250">
        <f t="shared" si="15"/>
        <v>10655.687798456451</v>
      </c>
      <c r="Z19" s="250">
        <f t="shared" si="16"/>
        <v>4773.0292982568217</v>
      </c>
      <c r="AB19" s="250">
        <f t="shared" si="17"/>
        <v>0</v>
      </c>
      <c r="AC19" s="250">
        <f t="shared" si="18"/>
        <v>36222.489541517745</v>
      </c>
      <c r="AD19" s="250">
        <f t="shared" si="19"/>
        <v>36222.489541517745</v>
      </c>
      <c r="AE19" s="250">
        <f t="shared" si="20"/>
        <v>16225.231736097783</v>
      </c>
      <c r="AG19" s="250">
        <f t="shared" si="21"/>
        <v>0</v>
      </c>
      <c r="AH19" s="250">
        <f t="shared" si="22"/>
        <v>25292.400796079888</v>
      </c>
      <c r="AI19" s="250">
        <f t="shared" si="23"/>
        <v>25292.400796079888</v>
      </c>
      <c r="AJ19" s="250">
        <f t="shared" si="24"/>
        <v>11329.289324752062</v>
      </c>
      <c r="AL19" s="250">
        <f t="shared" si="25"/>
        <v>0</v>
      </c>
      <c r="AM19" s="250">
        <f t="shared" si="26"/>
        <v>14699.248255955297</v>
      </c>
      <c r="AN19" s="250">
        <f t="shared" si="27"/>
        <v>14699.248255955297</v>
      </c>
      <c r="AO19" s="250">
        <f t="shared" si="28"/>
        <v>6584.2716035832318</v>
      </c>
      <c r="AQ19" s="250">
        <f t="shared" si="29"/>
        <v>0</v>
      </c>
      <c r="AR19" s="250">
        <f t="shared" si="30"/>
        <v>34334.68635786193</v>
      </c>
      <c r="AS19" s="250">
        <f t="shared" si="31"/>
        <v>34334.68635786193</v>
      </c>
      <c r="AT19" s="250">
        <f t="shared" si="32"/>
        <v>15379.623261510442</v>
      </c>
      <c r="AV19" s="250">
        <f t="shared" si="33"/>
        <v>0</v>
      </c>
      <c r="AW19" s="250">
        <f t="shared" si="34"/>
        <v>11994.435882430003</v>
      </c>
      <c r="AX19" s="250">
        <f t="shared" si="35"/>
        <v>11994.435882430003</v>
      </c>
      <c r="AY19" s="250">
        <f t="shared" si="36"/>
        <v>5372.6981275853768</v>
      </c>
    </row>
    <row r="20" spans="1:51" x14ac:dyDescent="0.2">
      <c r="A20" s="28">
        <v>11049</v>
      </c>
      <c r="C20" s="3">
        <v>5310000</v>
      </c>
      <c r="D20" s="3">
        <v>1678025</v>
      </c>
      <c r="E20" s="3">
        <f t="shared" si="0"/>
        <v>6988025</v>
      </c>
      <c r="F20" s="3">
        <v>751642</v>
      </c>
      <c r="H20" s="136">
        <f t="shared" si="1"/>
        <v>517940.59946487111</v>
      </c>
      <c r="I20" s="136">
        <f t="shared" si="2"/>
        <v>163675.56957006408</v>
      </c>
      <c r="J20" s="136">
        <f t="shared" si="3"/>
        <v>681616.16903493518</v>
      </c>
      <c r="K20" s="5">
        <f t="shared" si="4"/>
        <v>73315.613571181675</v>
      </c>
      <c r="M20" s="250">
        <f t="shared" si="5"/>
        <v>61122.668368940816</v>
      </c>
      <c r="N20" s="250">
        <f t="shared" si="6"/>
        <v>19315.511410506952</v>
      </c>
      <c r="O20" s="250">
        <f t="shared" si="7"/>
        <v>80438.179779447761</v>
      </c>
      <c r="P20" s="250">
        <f t="shared" si="8"/>
        <v>8652.0460825174032</v>
      </c>
      <c r="R20" s="250">
        <f t="shared" si="9"/>
        <v>35318.598703671545</v>
      </c>
      <c r="S20" s="250">
        <f t="shared" si="10"/>
        <v>11161.109527255827</v>
      </c>
      <c r="T20" s="250">
        <f t="shared" si="11"/>
        <v>46479.708230927368</v>
      </c>
      <c r="U20" s="250">
        <f t="shared" si="12"/>
        <v>4999.4241368785479</v>
      </c>
      <c r="W20" s="250">
        <f t="shared" si="13"/>
        <v>33719.224808810206</v>
      </c>
      <c r="X20" s="250">
        <f t="shared" si="14"/>
        <v>10655.687798456451</v>
      </c>
      <c r="Y20" s="250">
        <f t="shared" si="15"/>
        <v>44374.912607266655</v>
      </c>
      <c r="Z20" s="250">
        <f t="shared" si="16"/>
        <v>4773.0292982568217</v>
      </c>
      <c r="AB20" s="250">
        <f t="shared" si="17"/>
        <v>114623.69122358679</v>
      </c>
      <c r="AC20" s="250">
        <f t="shared" si="18"/>
        <v>36222.489541517745</v>
      </c>
      <c r="AD20" s="250">
        <f t="shared" si="19"/>
        <v>150846.18076510454</v>
      </c>
      <c r="AE20" s="250">
        <f t="shared" si="20"/>
        <v>16225.231736097783</v>
      </c>
      <c r="AG20" s="250">
        <f t="shared" si="21"/>
        <v>80036.142624325745</v>
      </c>
      <c r="AH20" s="250">
        <f t="shared" si="22"/>
        <v>25292.400796079888</v>
      </c>
      <c r="AI20" s="250">
        <f t="shared" si="23"/>
        <v>105328.54342040564</v>
      </c>
      <c r="AJ20" s="250">
        <f t="shared" si="24"/>
        <v>11329.289324752062</v>
      </c>
      <c r="AL20" s="250">
        <f t="shared" si="25"/>
        <v>46514.806536924443</v>
      </c>
      <c r="AM20" s="250">
        <f t="shared" si="26"/>
        <v>14699.248255955297</v>
      </c>
      <c r="AN20" s="250">
        <f t="shared" si="27"/>
        <v>61214.054792879739</v>
      </c>
      <c r="AO20" s="250">
        <f t="shared" si="28"/>
        <v>6584.2716035832318</v>
      </c>
      <c r="AQ20" s="250">
        <f t="shared" si="29"/>
        <v>108649.86192711483</v>
      </c>
      <c r="AR20" s="250">
        <f t="shared" si="30"/>
        <v>34334.68635786193</v>
      </c>
      <c r="AS20" s="250">
        <f t="shared" si="31"/>
        <v>142984.54828497677</v>
      </c>
      <c r="AT20" s="250">
        <f t="shared" si="32"/>
        <v>15379.623261510442</v>
      </c>
      <c r="AV20" s="250">
        <f t="shared" si="33"/>
        <v>37955.605271496737</v>
      </c>
      <c r="AW20" s="250">
        <f t="shared" si="34"/>
        <v>11994.435882430003</v>
      </c>
      <c r="AX20" s="250">
        <f t="shared" si="35"/>
        <v>49950.041153926737</v>
      </c>
      <c r="AY20" s="250">
        <f t="shared" si="36"/>
        <v>5372.6981275853768</v>
      </c>
    </row>
    <row r="21" spans="1:51" x14ac:dyDescent="0.2">
      <c r="A21" s="28">
        <v>11232</v>
      </c>
      <c r="D21" s="3">
        <v>1545275</v>
      </c>
      <c r="E21" s="3">
        <f t="shared" si="0"/>
        <v>1545275</v>
      </c>
      <c r="F21" s="3">
        <v>751642</v>
      </c>
      <c r="H21" s="136">
        <f t="shared" si="1"/>
        <v>0</v>
      </c>
      <c r="I21" s="136">
        <f t="shared" si="2"/>
        <v>150727.05458344231</v>
      </c>
      <c r="J21" s="136">
        <f t="shared" si="3"/>
        <v>150727.05458344231</v>
      </c>
      <c r="K21" s="5">
        <f t="shared" si="4"/>
        <v>73315.613571181675</v>
      </c>
      <c r="M21" s="250">
        <f t="shared" si="5"/>
        <v>0</v>
      </c>
      <c r="N21" s="250">
        <f t="shared" si="6"/>
        <v>17787.444701283432</v>
      </c>
      <c r="O21" s="250">
        <f t="shared" si="7"/>
        <v>17787.444701283432</v>
      </c>
      <c r="P21" s="250">
        <f t="shared" si="8"/>
        <v>8652.0460825174032</v>
      </c>
      <c r="R21" s="250">
        <f t="shared" si="9"/>
        <v>0</v>
      </c>
      <c r="S21" s="250">
        <f t="shared" si="10"/>
        <v>10278.144559664039</v>
      </c>
      <c r="T21" s="250">
        <f t="shared" si="11"/>
        <v>10278.144559664039</v>
      </c>
      <c r="U21" s="250">
        <f t="shared" si="12"/>
        <v>4999.4241368785479</v>
      </c>
      <c r="W21" s="250">
        <f t="shared" si="13"/>
        <v>0</v>
      </c>
      <c r="X21" s="250">
        <f t="shared" si="14"/>
        <v>9812.7071782361945</v>
      </c>
      <c r="Y21" s="250">
        <f t="shared" si="15"/>
        <v>9812.7071782361945</v>
      </c>
      <c r="Z21" s="250">
        <f t="shared" si="16"/>
        <v>4773.0292982568217</v>
      </c>
      <c r="AB21" s="250">
        <f t="shared" si="17"/>
        <v>0</v>
      </c>
      <c r="AC21" s="250">
        <f t="shared" si="18"/>
        <v>33356.897260928075</v>
      </c>
      <c r="AD21" s="250">
        <f t="shared" si="19"/>
        <v>33356.897260928075</v>
      </c>
      <c r="AE21" s="250">
        <f t="shared" si="20"/>
        <v>16225.231736097783</v>
      </c>
      <c r="AG21" s="250">
        <f t="shared" si="21"/>
        <v>0</v>
      </c>
      <c r="AH21" s="250">
        <f t="shared" si="22"/>
        <v>23291.497230471741</v>
      </c>
      <c r="AI21" s="250">
        <f t="shared" si="23"/>
        <v>23291.497230471741</v>
      </c>
      <c r="AJ21" s="250">
        <f t="shared" si="24"/>
        <v>11329.289324752062</v>
      </c>
      <c r="AL21" s="250">
        <f t="shared" si="25"/>
        <v>0</v>
      </c>
      <c r="AM21" s="250">
        <f t="shared" si="26"/>
        <v>13536.378092532188</v>
      </c>
      <c r="AN21" s="250">
        <f t="shared" si="27"/>
        <v>13536.378092532188</v>
      </c>
      <c r="AO21" s="250">
        <f t="shared" si="28"/>
        <v>6584.2716035832318</v>
      </c>
      <c r="AQ21" s="250">
        <f t="shared" si="29"/>
        <v>0</v>
      </c>
      <c r="AR21" s="250">
        <f t="shared" si="30"/>
        <v>31618.439809684063</v>
      </c>
      <c r="AS21" s="250">
        <f t="shared" si="31"/>
        <v>31618.439809684063</v>
      </c>
      <c r="AT21" s="250">
        <f t="shared" si="32"/>
        <v>15379.623261510442</v>
      </c>
      <c r="AV21" s="250">
        <f t="shared" si="33"/>
        <v>0</v>
      </c>
      <c r="AW21" s="250">
        <f t="shared" si="34"/>
        <v>11045.545750642585</v>
      </c>
      <c r="AX21" s="250">
        <f t="shared" si="35"/>
        <v>11045.545750642585</v>
      </c>
      <c r="AY21" s="250">
        <f t="shared" si="36"/>
        <v>5372.6981275853768</v>
      </c>
    </row>
    <row r="22" spans="1:51" x14ac:dyDescent="0.2">
      <c r="A22" s="28">
        <v>11414</v>
      </c>
      <c r="C22" s="3">
        <v>5575000</v>
      </c>
      <c r="D22" s="3">
        <v>1545275</v>
      </c>
      <c r="E22" s="3">
        <f t="shared" si="0"/>
        <v>7120275</v>
      </c>
      <c r="F22" s="3">
        <v>751642</v>
      </c>
      <c r="H22" s="136">
        <f t="shared" si="1"/>
        <v>543788.85913684673</v>
      </c>
      <c r="I22" s="136">
        <f t="shared" si="2"/>
        <v>150727.05458344231</v>
      </c>
      <c r="J22" s="136">
        <f t="shared" si="3"/>
        <v>694515.91372028901</v>
      </c>
      <c r="K22" s="5">
        <f t="shared" si="4"/>
        <v>73315.613571181675</v>
      </c>
      <c r="M22" s="250">
        <f t="shared" si="5"/>
        <v>64173.04635722129</v>
      </c>
      <c r="N22" s="250">
        <f t="shared" si="6"/>
        <v>17787.444701283432</v>
      </c>
      <c r="O22" s="250">
        <f t="shared" si="7"/>
        <v>81960.491058504718</v>
      </c>
      <c r="P22" s="250">
        <f t="shared" si="8"/>
        <v>8652.0460825174032</v>
      </c>
      <c r="R22" s="250">
        <f t="shared" si="9"/>
        <v>37081.202970427279</v>
      </c>
      <c r="S22" s="250">
        <f t="shared" si="10"/>
        <v>10278.144559664039</v>
      </c>
      <c r="T22" s="250">
        <f t="shared" si="11"/>
        <v>47359.34753009132</v>
      </c>
      <c r="U22" s="250">
        <f t="shared" si="12"/>
        <v>4999.4241368785479</v>
      </c>
      <c r="W22" s="250">
        <f t="shared" si="13"/>
        <v>35402.010981001302</v>
      </c>
      <c r="X22" s="250">
        <f t="shared" si="14"/>
        <v>9812.7071782361945</v>
      </c>
      <c r="Y22" s="250">
        <f t="shared" si="15"/>
        <v>45214.718159237498</v>
      </c>
      <c r="Z22" s="250">
        <f t="shared" si="16"/>
        <v>4773.0292982568217</v>
      </c>
      <c r="AB22" s="250">
        <f t="shared" si="17"/>
        <v>120344.08259350214</v>
      </c>
      <c r="AC22" s="250">
        <f t="shared" si="18"/>
        <v>33356.897260928075</v>
      </c>
      <c r="AD22" s="250">
        <f t="shared" si="19"/>
        <v>153700.97985443022</v>
      </c>
      <c r="AE22" s="250">
        <f t="shared" si="20"/>
        <v>16225.231736097783</v>
      </c>
      <c r="AG22" s="250">
        <f t="shared" si="21"/>
        <v>84030.413395596232</v>
      </c>
      <c r="AH22" s="250">
        <f t="shared" si="22"/>
        <v>23291.497230471741</v>
      </c>
      <c r="AI22" s="250">
        <f t="shared" si="23"/>
        <v>107321.91062606797</v>
      </c>
      <c r="AJ22" s="250">
        <f t="shared" si="24"/>
        <v>11329.289324752062</v>
      </c>
      <c r="AL22" s="250">
        <f t="shared" si="25"/>
        <v>48836.166938484697</v>
      </c>
      <c r="AM22" s="250">
        <f t="shared" si="26"/>
        <v>13536.378092532188</v>
      </c>
      <c r="AN22" s="250">
        <f t="shared" si="27"/>
        <v>62372.545031016882</v>
      </c>
      <c r="AO22" s="250">
        <f t="shared" si="28"/>
        <v>6584.2716035832318</v>
      </c>
      <c r="AQ22" s="250">
        <f t="shared" si="29"/>
        <v>114072.12433967329</v>
      </c>
      <c r="AR22" s="250">
        <f t="shared" si="30"/>
        <v>31618.439809684063</v>
      </c>
      <c r="AS22" s="250">
        <f t="shared" si="31"/>
        <v>145690.56414935735</v>
      </c>
      <c r="AT22" s="250">
        <f t="shared" si="32"/>
        <v>15379.623261510442</v>
      </c>
      <c r="AV22" s="250">
        <f t="shared" si="33"/>
        <v>39849.81156094055</v>
      </c>
      <c r="AW22" s="250">
        <f t="shared" si="34"/>
        <v>11045.545750642585</v>
      </c>
      <c r="AX22" s="250">
        <f t="shared" si="35"/>
        <v>50895.357311583139</v>
      </c>
      <c r="AY22" s="250">
        <f t="shared" si="36"/>
        <v>5372.6981275853768</v>
      </c>
    </row>
    <row r="23" spans="1:51" x14ac:dyDescent="0.2">
      <c r="A23" s="28">
        <v>11597</v>
      </c>
      <c r="D23" s="3">
        <v>1405900</v>
      </c>
      <c r="E23" s="3">
        <f t="shared" si="0"/>
        <v>1405900</v>
      </c>
      <c r="F23" s="3">
        <v>751642</v>
      </c>
      <c r="H23" s="136">
        <f t="shared" si="1"/>
        <v>0</v>
      </c>
      <c r="I23" s="136">
        <f t="shared" si="2"/>
        <v>137132.33310502116</v>
      </c>
      <c r="J23" s="136">
        <f t="shared" si="3"/>
        <v>137132.33310502116</v>
      </c>
      <c r="K23" s="5">
        <f t="shared" si="4"/>
        <v>73315.613571181675</v>
      </c>
      <c r="M23" s="250">
        <f t="shared" si="5"/>
        <v>0</v>
      </c>
      <c r="N23" s="250">
        <f t="shared" si="6"/>
        <v>16183.118542352899</v>
      </c>
      <c r="O23" s="250">
        <f t="shared" si="7"/>
        <v>16183.118542352899</v>
      </c>
      <c r="P23" s="250">
        <f t="shared" si="8"/>
        <v>8652.0460825174032</v>
      </c>
      <c r="R23" s="250">
        <f t="shared" si="9"/>
        <v>0</v>
      </c>
      <c r="S23" s="250">
        <f t="shared" si="10"/>
        <v>9351.1144854033573</v>
      </c>
      <c r="T23" s="250">
        <f t="shared" si="11"/>
        <v>9351.1144854033573</v>
      </c>
      <c r="U23" s="250">
        <f t="shared" si="12"/>
        <v>4999.4241368785479</v>
      </c>
      <c r="W23" s="250">
        <f t="shared" si="13"/>
        <v>0</v>
      </c>
      <c r="X23" s="250">
        <f t="shared" si="14"/>
        <v>8927.6569037111622</v>
      </c>
      <c r="Y23" s="250">
        <f t="shared" si="15"/>
        <v>8927.6569037111622</v>
      </c>
      <c r="Z23" s="250">
        <f t="shared" si="16"/>
        <v>4773.0292982568217</v>
      </c>
      <c r="AB23" s="250">
        <f t="shared" si="17"/>
        <v>0</v>
      </c>
      <c r="AC23" s="250">
        <f t="shared" si="18"/>
        <v>30348.295196090523</v>
      </c>
      <c r="AD23" s="250">
        <f t="shared" si="19"/>
        <v>30348.295196090523</v>
      </c>
      <c r="AE23" s="250">
        <f t="shared" si="20"/>
        <v>16225.231736097783</v>
      </c>
      <c r="AG23" s="250">
        <f t="shared" si="21"/>
        <v>0</v>
      </c>
      <c r="AH23" s="250">
        <f t="shared" si="22"/>
        <v>21190.736895581838</v>
      </c>
      <c r="AI23" s="250">
        <f t="shared" si="23"/>
        <v>21190.736895581838</v>
      </c>
      <c r="AJ23" s="250">
        <f t="shared" si="24"/>
        <v>11329.289324752062</v>
      </c>
      <c r="AL23" s="250">
        <f t="shared" si="25"/>
        <v>0</v>
      </c>
      <c r="AM23" s="250">
        <f t="shared" si="26"/>
        <v>12315.473919070069</v>
      </c>
      <c r="AN23" s="250">
        <f t="shared" si="27"/>
        <v>12315.473919070069</v>
      </c>
      <c r="AO23" s="250">
        <f t="shared" si="28"/>
        <v>6584.2716035832318</v>
      </c>
      <c r="AQ23" s="250">
        <f t="shared" si="29"/>
        <v>0</v>
      </c>
      <c r="AR23" s="250">
        <f t="shared" si="30"/>
        <v>28766.63670119223</v>
      </c>
      <c r="AS23" s="250">
        <f t="shared" si="31"/>
        <v>28766.63670119223</v>
      </c>
      <c r="AT23" s="250">
        <f t="shared" si="32"/>
        <v>15379.623261510442</v>
      </c>
      <c r="AV23" s="250">
        <f t="shared" si="33"/>
        <v>0</v>
      </c>
      <c r="AW23" s="250">
        <f t="shared" si="34"/>
        <v>10049.30046161907</v>
      </c>
      <c r="AX23" s="250">
        <f t="shared" si="35"/>
        <v>10049.30046161907</v>
      </c>
      <c r="AY23" s="250">
        <f t="shared" si="36"/>
        <v>5372.6981275853768</v>
      </c>
    </row>
    <row r="24" spans="1:51" x14ac:dyDescent="0.2">
      <c r="A24" s="28">
        <v>11780</v>
      </c>
      <c r="C24" s="3">
        <v>5855000</v>
      </c>
      <c r="D24" s="3">
        <v>1405900</v>
      </c>
      <c r="E24" s="3">
        <f t="shared" si="0"/>
        <v>7260900</v>
      </c>
      <c r="F24" s="3">
        <v>751642</v>
      </c>
      <c r="H24" s="136">
        <f t="shared" si="1"/>
        <v>571100.22784685867</v>
      </c>
      <c r="I24" s="136">
        <f t="shared" si="2"/>
        <v>137132.33310502116</v>
      </c>
      <c r="J24" s="136">
        <f t="shared" si="3"/>
        <v>708232.56095187983</v>
      </c>
      <c r="K24" s="5">
        <f t="shared" si="4"/>
        <v>73315.613571181675</v>
      </c>
      <c r="M24" s="250">
        <f t="shared" si="5"/>
        <v>67396.087250498778</v>
      </c>
      <c r="N24" s="250">
        <f t="shared" si="6"/>
        <v>16183.118542352899</v>
      </c>
      <c r="O24" s="250">
        <f t="shared" si="7"/>
        <v>83579.205792851673</v>
      </c>
      <c r="P24" s="250">
        <f t="shared" si="8"/>
        <v>8652.0460825174032</v>
      </c>
      <c r="R24" s="250">
        <f t="shared" si="9"/>
        <v>38943.577290018249</v>
      </c>
      <c r="S24" s="250">
        <f t="shared" si="10"/>
        <v>9351.1144854033573</v>
      </c>
      <c r="T24" s="250">
        <f t="shared" si="11"/>
        <v>48294.691775421605</v>
      </c>
      <c r="U24" s="250">
        <f t="shared" si="12"/>
        <v>4999.4241368785479</v>
      </c>
      <c r="W24" s="250">
        <f t="shared" si="13"/>
        <v>37180.049200674912</v>
      </c>
      <c r="X24" s="250">
        <f t="shared" si="14"/>
        <v>8927.6569037111622</v>
      </c>
      <c r="Y24" s="250">
        <f t="shared" si="15"/>
        <v>46107.706104386074</v>
      </c>
      <c r="Z24" s="250">
        <f t="shared" si="16"/>
        <v>4773.0292982568217</v>
      </c>
      <c r="AB24" s="250">
        <f t="shared" si="17"/>
        <v>126388.26970133722</v>
      </c>
      <c r="AC24" s="250">
        <f t="shared" si="18"/>
        <v>30348.295196090523</v>
      </c>
      <c r="AD24" s="250">
        <f t="shared" si="19"/>
        <v>156736.56489742774</v>
      </c>
      <c r="AE24" s="250">
        <f t="shared" si="20"/>
        <v>16225.231736097783</v>
      </c>
      <c r="AG24" s="250">
        <f t="shared" si="21"/>
        <v>88250.774965240533</v>
      </c>
      <c r="AH24" s="250">
        <f t="shared" si="22"/>
        <v>21190.736895581838</v>
      </c>
      <c r="AI24" s="250">
        <f t="shared" si="23"/>
        <v>109441.51186082237</v>
      </c>
      <c r="AJ24" s="250">
        <f t="shared" si="24"/>
        <v>11329.289324752062</v>
      </c>
      <c r="AL24" s="250">
        <f t="shared" si="25"/>
        <v>51288.92509862384</v>
      </c>
      <c r="AM24" s="250">
        <f t="shared" si="26"/>
        <v>12315.473919070069</v>
      </c>
      <c r="AN24" s="250">
        <f t="shared" si="27"/>
        <v>63604.399017693911</v>
      </c>
      <c r="AO24" s="250">
        <f t="shared" si="28"/>
        <v>6584.2716035832318</v>
      </c>
      <c r="AQ24" s="250">
        <f t="shared" si="29"/>
        <v>119801.30726615016</v>
      </c>
      <c r="AR24" s="250">
        <f t="shared" si="30"/>
        <v>28766.63670119223</v>
      </c>
      <c r="AS24" s="250">
        <f t="shared" si="31"/>
        <v>148567.94396734241</v>
      </c>
      <c r="AT24" s="250">
        <f t="shared" si="32"/>
        <v>15379.623261510442</v>
      </c>
      <c r="AV24" s="250">
        <f t="shared" si="33"/>
        <v>41851.23707431514</v>
      </c>
      <c r="AW24" s="250">
        <f t="shared" si="34"/>
        <v>10049.30046161907</v>
      </c>
      <c r="AX24" s="250">
        <f t="shared" si="35"/>
        <v>51900.537535934214</v>
      </c>
      <c r="AY24" s="250">
        <f t="shared" si="36"/>
        <v>5372.6981275853768</v>
      </c>
    </row>
    <row r="25" spans="1:51" x14ac:dyDescent="0.2">
      <c r="A25" s="28">
        <v>11963</v>
      </c>
      <c r="D25" s="3">
        <v>1288800</v>
      </c>
      <c r="E25" s="3">
        <f t="shared" si="0"/>
        <v>1288800</v>
      </c>
      <c r="F25" s="3">
        <v>751642</v>
      </c>
      <c r="H25" s="136">
        <f t="shared" si="1"/>
        <v>0</v>
      </c>
      <c r="I25" s="136">
        <f t="shared" si="2"/>
        <v>125710.32854808397</v>
      </c>
      <c r="J25" s="136">
        <f t="shared" si="3"/>
        <v>125710.32854808397</v>
      </c>
      <c r="K25" s="5">
        <f t="shared" si="4"/>
        <v>73315.613571181675</v>
      </c>
      <c r="M25" s="250">
        <f t="shared" si="5"/>
        <v>0</v>
      </c>
      <c r="N25" s="250">
        <f t="shared" si="6"/>
        <v>14835.196797342924</v>
      </c>
      <c r="O25" s="250">
        <f t="shared" si="7"/>
        <v>14835.196797342924</v>
      </c>
      <c r="P25" s="250">
        <f t="shared" si="8"/>
        <v>8652.0460825174032</v>
      </c>
      <c r="R25" s="250">
        <f t="shared" si="9"/>
        <v>0</v>
      </c>
      <c r="S25" s="250">
        <f t="shared" si="10"/>
        <v>8572.2429396029911</v>
      </c>
      <c r="T25" s="250">
        <f t="shared" si="11"/>
        <v>8572.2429396029911</v>
      </c>
      <c r="U25" s="250">
        <f t="shared" si="12"/>
        <v>4999.4241368785479</v>
      </c>
      <c r="W25" s="250">
        <f t="shared" si="13"/>
        <v>0</v>
      </c>
      <c r="X25" s="250">
        <f t="shared" si="14"/>
        <v>8184.0559196976646</v>
      </c>
      <c r="Y25" s="250">
        <f t="shared" si="15"/>
        <v>8184.0559196976646</v>
      </c>
      <c r="Z25" s="250">
        <f t="shared" si="16"/>
        <v>4773.0292982568217</v>
      </c>
      <c r="AB25" s="250">
        <f t="shared" si="17"/>
        <v>0</v>
      </c>
      <c r="AC25" s="250">
        <f t="shared" si="18"/>
        <v>27820.529802063778</v>
      </c>
      <c r="AD25" s="250">
        <f t="shared" si="19"/>
        <v>27820.529802063778</v>
      </c>
      <c r="AE25" s="250">
        <f t="shared" si="20"/>
        <v>16225.231736097783</v>
      </c>
      <c r="AG25" s="250">
        <f t="shared" si="21"/>
        <v>0</v>
      </c>
      <c r="AH25" s="250">
        <f t="shared" si="22"/>
        <v>19425.721396277026</v>
      </c>
      <c r="AI25" s="250">
        <f t="shared" si="23"/>
        <v>19425.721396277026</v>
      </c>
      <c r="AJ25" s="250">
        <f t="shared" si="24"/>
        <v>11329.289324752062</v>
      </c>
      <c r="AL25" s="250">
        <f t="shared" si="25"/>
        <v>0</v>
      </c>
      <c r="AM25" s="250">
        <f t="shared" si="26"/>
        <v>11289.695417097593</v>
      </c>
      <c r="AN25" s="250">
        <f t="shared" si="27"/>
        <v>11289.695417097593</v>
      </c>
      <c r="AO25" s="250">
        <f t="shared" si="28"/>
        <v>6584.2716035832318</v>
      </c>
      <c r="AQ25" s="250">
        <f t="shared" si="29"/>
        <v>0</v>
      </c>
      <c r="AR25" s="250">
        <f t="shared" si="30"/>
        <v>26370.610555869229</v>
      </c>
      <c r="AS25" s="250">
        <f t="shared" si="31"/>
        <v>26370.610555869229</v>
      </c>
      <c r="AT25" s="250">
        <f t="shared" si="32"/>
        <v>15379.623261510442</v>
      </c>
      <c r="AV25" s="250">
        <f t="shared" si="33"/>
        <v>0</v>
      </c>
      <c r="AW25" s="250">
        <f t="shared" si="34"/>
        <v>9212.2757201327677</v>
      </c>
      <c r="AX25" s="250">
        <f t="shared" si="35"/>
        <v>9212.2757201327677</v>
      </c>
      <c r="AY25" s="250">
        <f t="shared" si="36"/>
        <v>5372.6981275853768</v>
      </c>
    </row>
    <row r="26" spans="1:51" x14ac:dyDescent="0.2">
      <c r="A26" s="28">
        <v>12145</v>
      </c>
      <c r="C26" s="3">
        <v>6090000</v>
      </c>
      <c r="D26" s="3">
        <v>1288800</v>
      </c>
      <c r="E26" s="3">
        <f t="shared" si="0"/>
        <v>7378800</v>
      </c>
      <c r="F26" s="3">
        <v>751642</v>
      </c>
      <c r="H26" s="136">
        <f t="shared" si="1"/>
        <v>594022.26944276178</v>
      </c>
      <c r="I26" s="136">
        <f t="shared" si="2"/>
        <v>125710.32854808397</v>
      </c>
      <c r="J26" s="136">
        <f t="shared" si="3"/>
        <v>719732.5979908458</v>
      </c>
      <c r="K26" s="5">
        <f t="shared" si="4"/>
        <v>73315.613571181675</v>
      </c>
      <c r="L26"/>
      <c r="M26" s="250">
        <f t="shared" si="5"/>
        <v>70101.139428785231</v>
      </c>
      <c r="N26" s="250">
        <f t="shared" si="6"/>
        <v>14835.196797342924</v>
      </c>
      <c r="O26" s="250">
        <f t="shared" si="7"/>
        <v>84936.336226128158</v>
      </c>
      <c r="P26" s="250">
        <f t="shared" si="8"/>
        <v>8652.0460825174032</v>
      </c>
      <c r="R26" s="250">
        <f t="shared" si="9"/>
        <v>40506.641451103525</v>
      </c>
      <c r="S26" s="250">
        <f t="shared" si="10"/>
        <v>8572.2429396029911</v>
      </c>
      <c r="T26" s="250">
        <f t="shared" si="11"/>
        <v>49078.884390706517</v>
      </c>
      <c r="U26" s="250">
        <f t="shared" si="12"/>
        <v>4999.4241368785479</v>
      </c>
      <c r="V26"/>
      <c r="W26" s="250">
        <f t="shared" si="13"/>
        <v>38672.331277900972</v>
      </c>
      <c r="X26" s="250">
        <f t="shared" si="14"/>
        <v>8184.0559196976646</v>
      </c>
      <c r="Y26" s="250">
        <f t="shared" si="15"/>
        <v>46856.38719759864</v>
      </c>
      <c r="Z26" s="250">
        <f t="shared" si="16"/>
        <v>4773.0292982568217</v>
      </c>
      <c r="AA26"/>
      <c r="AB26" s="250">
        <f t="shared" si="17"/>
        <v>131461.06959541311</v>
      </c>
      <c r="AC26" s="250">
        <f t="shared" si="18"/>
        <v>27820.529802063778</v>
      </c>
      <c r="AD26" s="250">
        <f t="shared" si="19"/>
        <v>159281.59939747688</v>
      </c>
      <c r="AE26" s="250">
        <f t="shared" si="20"/>
        <v>16225.231736097783</v>
      </c>
      <c r="AF26"/>
      <c r="AG26" s="250">
        <f t="shared" si="21"/>
        <v>91792.86413976342</v>
      </c>
      <c r="AH26" s="250">
        <f t="shared" si="22"/>
        <v>19425.721396277026</v>
      </c>
      <c r="AI26" s="250">
        <f t="shared" si="23"/>
        <v>111218.58553604045</v>
      </c>
      <c r="AJ26" s="250">
        <f t="shared" si="24"/>
        <v>11329.289324752062</v>
      </c>
      <c r="AK26"/>
      <c r="AL26" s="250">
        <f t="shared" si="25"/>
        <v>53347.489983026331</v>
      </c>
      <c r="AM26" s="250">
        <f t="shared" si="26"/>
        <v>11289.695417097593</v>
      </c>
      <c r="AN26" s="250">
        <f t="shared" si="27"/>
        <v>64637.185400123926</v>
      </c>
      <c r="AO26" s="250">
        <f t="shared" si="28"/>
        <v>6584.2716035832318</v>
      </c>
      <c r="AP26"/>
      <c r="AQ26" s="250">
        <f t="shared" si="29"/>
        <v>124609.72865087181</v>
      </c>
      <c r="AR26" s="250">
        <f t="shared" si="30"/>
        <v>26370.610555869229</v>
      </c>
      <c r="AS26" s="250">
        <f t="shared" si="31"/>
        <v>150980.33920674105</v>
      </c>
      <c r="AT26" s="250">
        <f t="shared" si="32"/>
        <v>15379.623261510442</v>
      </c>
      <c r="AU26"/>
      <c r="AV26" s="250">
        <f t="shared" si="33"/>
        <v>43531.004915897392</v>
      </c>
      <c r="AW26" s="250">
        <f t="shared" si="34"/>
        <v>9212.2757201327677</v>
      </c>
      <c r="AX26" s="250">
        <f t="shared" si="35"/>
        <v>52743.280636030162</v>
      </c>
      <c r="AY26" s="250">
        <f t="shared" si="36"/>
        <v>5372.6981275853768</v>
      </c>
    </row>
    <row r="27" spans="1:51" x14ac:dyDescent="0.2">
      <c r="A27" s="28">
        <v>12328</v>
      </c>
      <c r="D27" s="3">
        <v>1167000</v>
      </c>
      <c r="E27" s="3">
        <f t="shared" si="0"/>
        <v>1167000</v>
      </c>
      <c r="F27" s="3">
        <v>751642</v>
      </c>
      <c r="H27" s="136">
        <f t="shared" si="1"/>
        <v>0</v>
      </c>
      <c r="I27" s="136">
        <f t="shared" si="2"/>
        <v>113829.88315922873</v>
      </c>
      <c r="J27" s="136">
        <f t="shared" si="3"/>
        <v>113829.88315922873</v>
      </c>
      <c r="K27" s="5">
        <f t="shared" si="4"/>
        <v>73315.613571181675</v>
      </c>
      <c r="L27"/>
      <c r="M27" s="250">
        <f t="shared" si="5"/>
        <v>0</v>
      </c>
      <c r="N27" s="250">
        <f t="shared" si="6"/>
        <v>13433.174008767219</v>
      </c>
      <c r="O27" s="250">
        <f t="shared" si="7"/>
        <v>13433.174008767219</v>
      </c>
      <c r="P27" s="250">
        <f t="shared" si="8"/>
        <v>8652.0460825174032</v>
      </c>
      <c r="R27" s="250">
        <f t="shared" si="9"/>
        <v>0</v>
      </c>
      <c r="S27" s="250">
        <f t="shared" si="10"/>
        <v>7762.1101105809212</v>
      </c>
      <c r="T27" s="250">
        <f t="shared" si="11"/>
        <v>7762.1101105809212</v>
      </c>
      <c r="U27" s="250">
        <f t="shared" si="12"/>
        <v>4999.4241368785479</v>
      </c>
      <c r="V27"/>
      <c r="W27" s="250">
        <f t="shared" si="13"/>
        <v>0</v>
      </c>
      <c r="X27" s="250">
        <f t="shared" si="14"/>
        <v>7410.6092941396446</v>
      </c>
      <c r="Y27" s="250">
        <f t="shared" si="15"/>
        <v>7410.6092941396446</v>
      </c>
      <c r="Z27" s="250">
        <f t="shared" si="16"/>
        <v>4773.0292982568217</v>
      </c>
      <c r="AA27"/>
      <c r="AB27" s="250">
        <f t="shared" si="17"/>
        <v>0</v>
      </c>
      <c r="AC27" s="250">
        <f t="shared" si="18"/>
        <v>25191.308410155514</v>
      </c>
      <c r="AD27" s="250">
        <f t="shared" si="19"/>
        <v>25191.308410155514</v>
      </c>
      <c r="AE27" s="250">
        <f t="shared" si="20"/>
        <v>16225.231736097783</v>
      </c>
      <c r="AF27"/>
      <c r="AG27" s="250">
        <f t="shared" si="21"/>
        <v>0</v>
      </c>
      <c r="AH27" s="250">
        <f t="shared" si="22"/>
        <v>17589.864113481759</v>
      </c>
      <c r="AI27" s="250">
        <f t="shared" si="23"/>
        <v>17589.864113481759</v>
      </c>
      <c r="AJ27" s="250">
        <f t="shared" si="24"/>
        <v>11329.289324752062</v>
      </c>
      <c r="AK27"/>
      <c r="AL27" s="250">
        <f t="shared" si="25"/>
        <v>0</v>
      </c>
      <c r="AM27" s="250">
        <f t="shared" si="26"/>
        <v>10222.745617437065</v>
      </c>
      <c r="AN27" s="250">
        <f t="shared" si="27"/>
        <v>10222.745617437065</v>
      </c>
      <c r="AO27" s="250">
        <f t="shared" si="28"/>
        <v>6584.2716035832318</v>
      </c>
      <c r="AP27"/>
      <c r="AQ27" s="250">
        <f t="shared" si="29"/>
        <v>0</v>
      </c>
      <c r="AR27" s="250">
        <f t="shared" si="30"/>
        <v>23878.415982851791</v>
      </c>
      <c r="AS27" s="250">
        <f t="shared" si="31"/>
        <v>23878.415982851791</v>
      </c>
      <c r="AT27" s="250">
        <f t="shared" si="32"/>
        <v>15379.623261510442</v>
      </c>
      <c r="AU27"/>
      <c r="AV27" s="250">
        <f t="shared" si="33"/>
        <v>0</v>
      </c>
      <c r="AW27" s="250">
        <f t="shared" si="34"/>
        <v>8341.6556218148198</v>
      </c>
      <c r="AX27" s="250">
        <f t="shared" si="35"/>
        <v>8341.6556218148198</v>
      </c>
      <c r="AY27" s="250">
        <f t="shared" si="36"/>
        <v>5372.6981275853768</v>
      </c>
    </row>
    <row r="28" spans="1:51" x14ac:dyDescent="0.2">
      <c r="A28" s="28">
        <v>12510</v>
      </c>
      <c r="C28" s="3">
        <v>6330000</v>
      </c>
      <c r="D28" s="3">
        <v>1167000</v>
      </c>
      <c r="E28" s="3">
        <f t="shared" si="0"/>
        <v>7497000</v>
      </c>
      <c r="F28" s="3">
        <v>751642</v>
      </c>
      <c r="H28" s="136">
        <f t="shared" si="1"/>
        <v>617432.01405134355</v>
      </c>
      <c r="I28" s="136">
        <f t="shared" si="2"/>
        <v>113829.88315922873</v>
      </c>
      <c r="J28" s="136">
        <f t="shared" si="3"/>
        <v>731261.89721057226</v>
      </c>
      <c r="K28" s="5">
        <f t="shared" si="4"/>
        <v>73315.613571181675</v>
      </c>
      <c r="L28"/>
      <c r="M28" s="250">
        <f t="shared" si="5"/>
        <v>72863.745908737357</v>
      </c>
      <c r="N28" s="250">
        <f t="shared" si="6"/>
        <v>13433.174008767219</v>
      </c>
      <c r="O28" s="250">
        <f t="shared" si="7"/>
        <v>86296.91991750458</v>
      </c>
      <c r="P28" s="250">
        <f t="shared" si="8"/>
        <v>8652.0460825174032</v>
      </c>
      <c r="R28" s="250">
        <f t="shared" si="9"/>
        <v>42102.962296467209</v>
      </c>
      <c r="S28" s="250">
        <f t="shared" si="10"/>
        <v>7762.1101105809212</v>
      </c>
      <c r="T28" s="250">
        <f t="shared" si="11"/>
        <v>49865.07240704813</v>
      </c>
      <c r="U28" s="250">
        <f t="shared" si="12"/>
        <v>4999.4241368785479</v>
      </c>
      <c r="V28"/>
      <c r="W28" s="250">
        <f t="shared" si="13"/>
        <v>40196.364037621206</v>
      </c>
      <c r="X28" s="250">
        <f t="shared" si="14"/>
        <v>7410.6092941396446</v>
      </c>
      <c r="Y28" s="250">
        <f t="shared" si="15"/>
        <v>47606.973331760848</v>
      </c>
      <c r="Z28" s="250">
        <f t="shared" si="16"/>
        <v>4773.0292982568217</v>
      </c>
      <c r="AA28"/>
      <c r="AB28" s="250">
        <f t="shared" si="17"/>
        <v>136641.80140212888</v>
      </c>
      <c r="AC28" s="250">
        <f t="shared" si="18"/>
        <v>25191.308410155514</v>
      </c>
      <c r="AD28" s="250">
        <f t="shared" si="19"/>
        <v>161833.10981228441</v>
      </c>
      <c r="AE28" s="250">
        <f t="shared" si="20"/>
        <v>16225.231736097783</v>
      </c>
      <c r="AF28"/>
      <c r="AG28" s="250">
        <f t="shared" si="21"/>
        <v>95410.316913744246</v>
      </c>
      <c r="AH28" s="250">
        <f t="shared" si="22"/>
        <v>17589.864113481759</v>
      </c>
      <c r="AI28" s="250">
        <f t="shared" si="23"/>
        <v>113000.181027226</v>
      </c>
      <c r="AJ28" s="250">
        <f t="shared" si="24"/>
        <v>11329.289324752062</v>
      </c>
      <c r="AK28"/>
      <c r="AL28" s="250">
        <f t="shared" si="25"/>
        <v>55449.854120288459</v>
      </c>
      <c r="AM28" s="250">
        <f t="shared" si="26"/>
        <v>10222.745617437065</v>
      </c>
      <c r="AN28" s="250">
        <f t="shared" si="27"/>
        <v>65672.599737725526</v>
      </c>
      <c r="AO28" s="250">
        <f t="shared" si="28"/>
        <v>6584.2716035832318</v>
      </c>
      <c r="AP28"/>
      <c r="AQ28" s="250">
        <f t="shared" si="29"/>
        <v>129520.45687356628</v>
      </c>
      <c r="AR28" s="250">
        <f t="shared" si="30"/>
        <v>23878.415982851791</v>
      </c>
      <c r="AS28" s="250">
        <f t="shared" si="31"/>
        <v>153398.87285641808</v>
      </c>
      <c r="AT28" s="250">
        <f t="shared" si="32"/>
        <v>15379.623261510442</v>
      </c>
      <c r="AU28"/>
      <c r="AV28" s="250">
        <f t="shared" si="33"/>
        <v>45246.512498789896</v>
      </c>
      <c r="AW28" s="250">
        <f t="shared" si="34"/>
        <v>8341.6556218148198</v>
      </c>
      <c r="AX28" s="250">
        <f t="shared" si="35"/>
        <v>53588.168120604714</v>
      </c>
      <c r="AY28" s="250">
        <f t="shared" si="36"/>
        <v>5372.6981275853768</v>
      </c>
    </row>
    <row r="29" spans="1:51" x14ac:dyDescent="0.2">
      <c r="A29" s="28">
        <v>12693</v>
      </c>
      <c r="D29" s="3">
        <v>1040400</v>
      </c>
      <c r="E29" s="3">
        <f t="shared" si="0"/>
        <v>1040400</v>
      </c>
      <c r="F29" s="3">
        <v>751642</v>
      </c>
      <c r="H29" s="136">
        <f t="shared" si="1"/>
        <v>0</v>
      </c>
      <c r="I29" s="136">
        <f t="shared" si="2"/>
        <v>101481.24287820187</v>
      </c>
      <c r="J29" s="136">
        <f t="shared" si="3"/>
        <v>101481.24287820187</v>
      </c>
      <c r="K29" s="5">
        <f t="shared" si="4"/>
        <v>73315.613571181675</v>
      </c>
      <c r="L29"/>
      <c r="M29" s="250">
        <f t="shared" si="5"/>
        <v>0</v>
      </c>
      <c r="N29" s="250">
        <f t="shared" si="6"/>
        <v>11975.899090592471</v>
      </c>
      <c r="O29" s="250">
        <f t="shared" si="7"/>
        <v>11975.899090592471</v>
      </c>
      <c r="P29" s="250">
        <f t="shared" si="8"/>
        <v>8652.0460825174032</v>
      </c>
      <c r="R29" s="250">
        <f t="shared" si="9"/>
        <v>0</v>
      </c>
      <c r="S29" s="250">
        <f t="shared" si="10"/>
        <v>6920.0508646515773</v>
      </c>
      <c r="T29" s="250">
        <f t="shared" si="11"/>
        <v>6920.0508646515773</v>
      </c>
      <c r="U29" s="250">
        <f t="shared" si="12"/>
        <v>4999.4241368785479</v>
      </c>
      <c r="V29"/>
      <c r="W29" s="250">
        <f t="shared" si="13"/>
        <v>0</v>
      </c>
      <c r="X29" s="250">
        <f t="shared" si="14"/>
        <v>6606.6820133872206</v>
      </c>
      <c r="Y29" s="250">
        <f t="shared" si="15"/>
        <v>6606.6820133872206</v>
      </c>
      <c r="Z29" s="250">
        <f t="shared" si="16"/>
        <v>4773.0292982568217</v>
      </c>
      <c r="AA29"/>
      <c r="AB29" s="250">
        <f t="shared" si="17"/>
        <v>0</v>
      </c>
      <c r="AC29" s="250">
        <f t="shared" si="18"/>
        <v>22458.472382112937</v>
      </c>
      <c r="AD29" s="250">
        <f t="shared" si="19"/>
        <v>22458.472382112937</v>
      </c>
      <c r="AE29" s="250">
        <f t="shared" si="20"/>
        <v>16225.231736097783</v>
      </c>
      <c r="AF29"/>
      <c r="AG29" s="250">
        <f t="shared" si="21"/>
        <v>0</v>
      </c>
      <c r="AH29" s="250">
        <f t="shared" si="22"/>
        <v>15681.657775206873</v>
      </c>
      <c r="AI29" s="250">
        <f t="shared" si="23"/>
        <v>15681.657775206873</v>
      </c>
      <c r="AJ29" s="250">
        <f t="shared" si="24"/>
        <v>11329.289324752062</v>
      </c>
      <c r="AK29"/>
      <c r="AL29" s="250">
        <f t="shared" si="25"/>
        <v>0</v>
      </c>
      <c r="AM29" s="250">
        <f t="shared" si="26"/>
        <v>9113.7485350312963</v>
      </c>
      <c r="AN29" s="250">
        <f t="shared" si="27"/>
        <v>9113.7485350312963</v>
      </c>
      <c r="AO29" s="250">
        <f t="shared" si="28"/>
        <v>6584.2716035832318</v>
      </c>
      <c r="AP29"/>
      <c r="AQ29" s="250">
        <f t="shared" si="29"/>
        <v>0</v>
      </c>
      <c r="AR29" s="250">
        <f t="shared" si="30"/>
        <v>21288.006845380467</v>
      </c>
      <c r="AS29" s="250">
        <f t="shared" si="31"/>
        <v>21288.006845380467</v>
      </c>
      <c r="AT29" s="250">
        <f t="shared" si="32"/>
        <v>15379.623261510442</v>
      </c>
      <c r="AU29"/>
      <c r="AV29" s="250">
        <f t="shared" si="33"/>
        <v>0</v>
      </c>
      <c r="AW29" s="250">
        <f t="shared" si="34"/>
        <v>7436.725371839022</v>
      </c>
      <c r="AX29" s="250">
        <f t="shared" si="35"/>
        <v>7436.725371839022</v>
      </c>
      <c r="AY29" s="250">
        <f t="shared" si="36"/>
        <v>5372.6981275853768</v>
      </c>
    </row>
    <row r="30" spans="1:51" x14ac:dyDescent="0.2">
      <c r="A30" s="28">
        <v>12875</v>
      </c>
      <c r="C30" s="3">
        <v>6585000</v>
      </c>
      <c r="D30" s="3">
        <v>1040400</v>
      </c>
      <c r="E30" s="3">
        <f t="shared" si="0"/>
        <v>7625400</v>
      </c>
      <c r="F30" s="3">
        <v>751642</v>
      </c>
      <c r="H30" s="136">
        <f t="shared" si="1"/>
        <v>642304.86769796163</v>
      </c>
      <c r="I30" s="136">
        <f t="shared" si="2"/>
        <v>101481.24287820187</v>
      </c>
      <c r="J30" s="136">
        <f t="shared" si="3"/>
        <v>743786.11057616351</v>
      </c>
      <c r="K30" s="5">
        <f t="shared" si="4"/>
        <v>73315.613571181675</v>
      </c>
      <c r="L30"/>
      <c r="M30" s="250">
        <f t="shared" si="5"/>
        <v>75799.015293686491</v>
      </c>
      <c r="N30" s="250">
        <f t="shared" si="6"/>
        <v>11975.899090592471</v>
      </c>
      <c r="O30" s="250">
        <f t="shared" si="7"/>
        <v>87774.914384278964</v>
      </c>
      <c r="P30" s="250">
        <f t="shared" si="8"/>
        <v>8652.0460825174032</v>
      </c>
      <c r="R30" s="250">
        <f t="shared" si="9"/>
        <v>43799.053194666121</v>
      </c>
      <c r="S30" s="250">
        <f t="shared" si="10"/>
        <v>6920.0508646515773</v>
      </c>
      <c r="T30" s="250">
        <f t="shared" si="11"/>
        <v>50719.104059317702</v>
      </c>
      <c r="U30" s="250">
        <f t="shared" si="12"/>
        <v>4999.4241368785479</v>
      </c>
      <c r="V30"/>
      <c r="W30" s="250">
        <f t="shared" si="13"/>
        <v>41815.648844823962</v>
      </c>
      <c r="X30" s="250">
        <f t="shared" si="14"/>
        <v>6606.6820133872206</v>
      </c>
      <c r="Y30" s="250">
        <f t="shared" si="15"/>
        <v>48422.330858211179</v>
      </c>
      <c r="Z30" s="250">
        <f t="shared" si="16"/>
        <v>4773.0292982568217</v>
      </c>
      <c r="AA30"/>
      <c r="AB30" s="250">
        <f t="shared" si="17"/>
        <v>142146.32894676441</v>
      </c>
      <c r="AC30" s="250">
        <f t="shared" si="18"/>
        <v>22458.472382112937</v>
      </c>
      <c r="AD30" s="250">
        <f t="shared" si="19"/>
        <v>164604.80132887734</v>
      </c>
      <c r="AE30" s="250">
        <f t="shared" si="20"/>
        <v>16225.231736097783</v>
      </c>
      <c r="AF30"/>
      <c r="AG30" s="250">
        <f t="shared" si="21"/>
        <v>99253.860486098871</v>
      </c>
      <c r="AH30" s="250">
        <f t="shared" si="22"/>
        <v>15681.657775206873</v>
      </c>
      <c r="AI30" s="250">
        <f t="shared" si="23"/>
        <v>114935.51826130574</v>
      </c>
      <c r="AJ30" s="250">
        <f t="shared" si="24"/>
        <v>11329.289324752062</v>
      </c>
      <c r="AK30"/>
      <c r="AL30" s="250">
        <f t="shared" si="25"/>
        <v>57683.616016129461</v>
      </c>
      <c r="AM30" s="250">
        <f t="shared" si="26"/>
        <v>9113.7485350312963</v>
      </c>
      <c r="AN30" s="250">
        <f t="shared" si="27"/>
        <v>66797.364551160761</v>
      </c>
      <c r="AO30" s="250">
        <f t="shared" si="28"/>
        <v>6584.2716035832318</v>
      </c>
      <c r="AP30"/>
      <c r="AQ30" s="250">
        <f t="shared" si="29"/>
        <v>134738.10561017913</v>
      </c>
      <c r="AR30" s="250">
        <f t="shared" si="30"/>
        <v>21288.006845380467</v>
      </c>
      <c r="AS30" s="250">
        <f t="shared" si="31"/>
        <v>156026.1124555596</v>
      </c>
      <c r="AT30" s="250">
        <f t="shared" si="32"/>
        <v>15379.623261510442</v>
      </c>
      <c r="AU30"/>
      <c r="AV30" s="250">
        <f t="shared" si="33"/>
        <v>47069.239305613184</v>
      </c>
      <c r="AW30" s="250">
        <f t="shared" si="34"/>
        <v>7436.725371839022</v>
      </c>
      <c r="AX30" s="250">
        <f t="shared" si="35"/>
        <v>54505.964677452204</v>
      </c>
      <c r="AY30" s="250">
        <f t="shared" si="36"/>
        <v>5372.6981275853768</v>
      </c>
    </row>
    <row r="31" spans="1:51" x14ac:dyDescent="0.2">
      <c r="A31" s="28">
        <v>13058</v>
      </c>
      <c r="D31" s="3">
        <v>908700</v>
      </c>
      <c r="E31" s="3">
        <f t="shared" si="0"/>
        <v>908700</v>
      </c>
      <c r="F31" s="3">
        <v>751642</v>
      </c>
      <c r="H31" s="136">
        <f t="shared" si="1"/>
        <v>0</v>
      </c>
      <c r="I31" s="136">
        <f t="shared" si="2"/>
        <v>88635.145524242631</v>
      </c>
      <c r="J31" s="136">
        <f t="shared" si="3"/>
        <v>88635.145524242631</v>
      </c>
      <c r="K31" s="5">
        <f t="shared" si="4"/>
        <v>73315.613571181675</v>
      </c>
      <c r="L31"/>
      <c r="M31" s="250">
        <f t="shared" si="5"/>
        <v>0</v>
      </c>
      <c r="N31" s="250">
        <f t="shared" si="6"/>
        <v>10459.918784718742</v>
      </c>
      <c r="O31" s="250">
        <f t="shared" si="7"/>
        <v>10459.918784718742</v>
      </c>
      <c r="P31" s="250">
        <f t="shared" si="8"/>
        <v>8652.0460825174032</v>
      </c>
      <c r="R31" s="250">
        <f t="shared" si="9"/>
        <v>0</v>
      </c>
      <c r="S31" s="250">
        <f t="shared" si="10"/>
        <v>6044.069800758255</v>
      </c>
      <c r="T31" s="250">
        <f t="shared" si="11"/>
        <v>6044.069800758255</v>
      </c>
      <c r="U31" s="250">
        <f t="shared" si="12"/>
        <v>4999.4241368785479</v>
      </c>
      <c r="V31"/>
      <c r="W31" s="250">
        <f t="shared" si="13"/>
        <v>0</v>
      </c>
      <c r="X31" s="250">
        <f t="shared" si="14"/>
        <v>5770.3690364907416</v>
      </c>
      <c r="Y31" s="250">
        <f t="shared" si="15"/>
        <v>5770.3690364907416</v>
      </c>
      <c r="Z31" s="250">
        <f t="shared" si="16"/>
        <v>4773.0292982568217</v>
      </c>
      <c r="AA31"/>
      <c r="AB31" s="250">
        <f t="shared" si="17"/>
        <v>0</v>
      </c>
      <c r="AC31" s="250">
        <f t="shared" si="18"/>
        <v>19615.545803177651</v>
      </c>
      <c r="AD31" s="250">
        <f t="shared" si="19"/>
        <v>19615.545803177651</v>
      </c>
      <c r="AE31" s="250">
        <f t="shared" si="20"/>
        <v>16225.231736097783</v>
      </c>
      <c r="AF31"/>
      <c r="AG31" s="250">
        <f t="shared" si="21"/>
        <v>0</v>
      </c>
      <c r="AH31" s="250">
        <f t="shared" si="22"/>
        <v>13696.580565484895</v>
      </c>
      <c r="AI31" s="250">
        <f t="shared" si="23"/>
        <v>13696.580565484895</v>
      </c>
      <c r="AJ31" s="250">
        <f t="shared" si="24"/>
        <v>11329.289324752062</v>
      </c>
      <c r="AK31"/>
      <c r="AL31" s="250">
        <f t="shared" si="25"/>
        <v>0</v>
      </c>
      <c r="AM31" s="250">
        <f t="shared" si="26"/>
        <v>7960.076214708708</v>
      </c>
      <c r="AN31" s="250">
        <f t="shared" si="27"/>
        <v>7960.076214708708</v>
      </c>
      <c r="AO31" s="250">
        <f t="shared" si="28"/>
        <v>6584.2716035832318</v>
      </c>
      <c r="AP31"/>
      <c r="AQ31" s="250">
        <f t="shared" si="29"/>
        <v>0</v>
      </c>
      <c r="AR31" s="250">
        <f t="shared" si="30"/>
        <v>18593.244733176882</v>
      </c>
      <c r="AS31" s="250">
        <f t="shared" si="31"/>
        <v>18593.244733176882</v>
      </c>
      <c r="AT31" s="250">
        <f t="shared" si="32"/>
        <v>15379.623261510442</v>
      </c>
      <c r="AU31"/>
      <c r="AV31" s="250">
        <f t="shared" si="33"/>
        <v>0</v>
      </c>
      <c r="AW31" s="250">
        <f t="shared" si="34"/>
        <v>6495.340585726758</v>
      </c>
      <c r="AX31" s="250">
        <f t="shared" si="35"/>
        <v>6495.340585726758</v>
      </c>
      <c r="AY31" s="250">
        <f t="shared" si="36"/>
        <v>5372.6981275853768</v>
      </c>
    </row>
    <row r="32" spans="1:51" x14ac:dyDescent="0.2">
      <c r="A32" s="28">
        <v>13241</v>
      </c>
      <c r="C32" s="3">
        <v>6850000</v>
      </c>
      <c r="D32" s="3">
        <v>908700</v>
      </c>
      <c r="E32" s="3">
        <f t="shared" si="0"/>
        <v>7758700</v>
      </c>
      <c r="F32" s="3">
        <v>751642</v>
      </c>
      <c r="H32" s="136">
        <f t="shared" si="1"/>
        <v>668153.12736993737</v>
      </c>
      <c r="I32" s="136">
        <f t="shared" si="2"/>
        <v>88635.145524242631</v>
      </c>
      <c r="J32" s="136">
        <f t="shared" si="3"/>
        <v>756788.27289418003</v>
      </c>
      <c r="K32" s="5">
        <f t="shared" si="4"/>
        <v>73315.613571181675</v>
      </c>
      <c r="L32"/>
      <c r="M32" s="250">
        <f t="shared" si="5"/>
        <v>78849.393281966972</v>
      </c>
      <c r="N32" s="250">
        <f t="shared" si="6"/>
        <v>10459.918784718742</v>
      </c>
      <c r="O32" s="250">
        <f t="shared" si="7"/>
        <v>89309.312066685714</v>
      </c>
      <c r="P32" s="250">
        <f t="shared" si="8"/>
        <v>8652.0460825174032</v>
      </c>
      <c r="R32" s="250">
        <f t="shared" si="9"/>
        <v>45561.657461421863</v>
      </c>
      <c r="S32" s="250">
        <f t="shared" si="10"/>
        <v>6044.069800758255</v>
      </c>
      <c r="T32" s="250">
        <f t="shared" si="11"/>
        <v>51605.727262180117</v>
      </c>
      <c r="U32" s="250">
        <f t="shared" si="12"/>
        <v>4999.4241368785479</v>
      </c>
      <c r="V32"/>
      <c r="W32" s="250">
        <f t="shared" si="13"/>
        <v>43498.43501701505</v>
      </c>
      <c r="X32" s="250">
        <f t="shared" si="14"/>
        <v>5770.3690364907416</v>
      </c>
      <c r="Y32" s="250">
        <f t="shared" si="15"/>
        <v>49268.804053505795</v>
      </c>
      <c r="Z32" s="250">
        <f t="shared" si="16"/>
        <v>4773.0292982568217</v>
      </c>
      <c r="AA32"/>
      <c r="AB32" s="250">
        <f t="shared" si="17"/>
        <v>147866.72031667977</v>
      </c>
      <c r="AC32" s="250">
        <f t="shared" si="18"/>
        <v>19615.545803177651</v>
      </c>
      <c r="AD32" s="250">
        <f t="shared" si="19"/>
        <v>167482.26611985744</v>
      </c>
      <c r="AE32" s="250">
        <f t="shared" si="20"/>
        <v>16225.231736097783</v>
      </c>
      <c r="AF32"/>
      <c r="AG32" s="250">
        <f t="shared" si="21"/>
        <v>103248.13125736936</v>
      </c>
      <c r="AH32" s="250">
        <f t="shared" si="22"/>
        <v>13696.580565484895</v>
      </c>
      <c r="AI32" s="250">
        <f t="shared" si="23"/>
        <v>116944.71182285425</v>
      </c>
      <c r="AJ32" s="250">
        <f t="shared" si="24"/>
        <v>11329.289324752062</v>
      </c>
      <c r="AK32"/>
      <c r="AL32" s="250">
        <f t="shared" si="25"/>
        <v>60004.976417689722</v>
      </c>
      <c r="AM32" s="250">
        <f t="shared" si="26"/>
        <v>7960.076214708708</v>
      </c>
      <c r="AN32" s="250">
        <f t="shared" si="27"/>
        <v>67965.052632398438</v>
      </c>
      <c r="AO32" s="250">
        <f t="shared" si="28"/>
        <v>6584.2716035832318</v>
      </c>
      <c r="AP32"/>
      <c r="AQ32" s="250">
        <f t="shared" si="29"/>
        <v>140160.36802273759</v>
      </c>
      <c r="AR32" s="250">
        <f t="shared" si="30"/>
        <v>18593.244733176882</v>
      </c>
      <c r="AS32" s="250">
        <f t="shared" si="31"/>
        <v>158753.61275591448</v>
      </c>
      <c r="AT32" s="250">
        <f t="shared" si="32"/>
        <v>15379.623261510442</v>
      </c>
      <c r="AU32"/>
      <c r="AV32" s="250">
        <f t="shared" si="33"/>
        <v>48963.445595056997</v>
      </c>
      <c r="AW32" s="250">
        <f t="shared" si="34"/>
        <v>6495.340585726758</v>
      </c>
      <c r="AX32" s="250">
        <f t="shared" si="35"/>
        <v>55458.786180783754</v>
      </c>
      <c r="AY32" s="250">
        <f t="shared" si="36"/>
        <v>5372.6981275853768</v>
      </c>
    </row>
    <row r="33" spans="1:51" x14ac:dyDescent="0.2">
      <c r="A33" s="28">
        <v>13424</v>
      </c>
      <c r="D33" s="3">
        <v>771700</v>
      </c>
      <c r="E33" s="3">
        <f t="shared" si="0"/>
        <v>771700</v>
      </c>
      <c r="F33" s="3">
        <v>751642</v>
      </c>
      <c r="H33" s="136">
        <f t="shared" si="1"/>
        <v>0</v>
      </c>
      <c r="I33" s="136">
        <f t="shared" si="2"/>
        <v>75272.082976843885</v>
      </c>
      <c r="J33" s="136">
        <f t="shared" si="3"/>
        <v>75272.082976843885</v>
      </c>
      <c r="K33" s="5">
        <f t="shared" si="4"/>
        <v>73315.613571181675</v>
      </c>
      <c r="L33"/>
      <c r="M33" s="250">
        <f t="shared" si="5"/>
        <v>0</v>
      </c>
      <c r="N33" s="250">
        <f t="shared" si="6"/>
        <v>8882.9309190794029</v>
      </c>
      <c r="O33" s="250">
        <f t="shared" si="7"/>
        <v>8882.9309190794029</v>
      </c>
      <c r="P33" s="250">
        <f t="shared" si="8"/>
        <v>8652.0460825174032</v>
      </c>
      <c r="R33" s="250">
        <f t="shared" si="9"/>
        <v>0</v>
      </c>
      <c r="S33" s="250">
        <f t="shared" si="10"/>
        <v>5132.8366515298176</v>
      </c>
      <c r="T33" s="250">
        <f t="shared" si="11"/>
        <v>5132.8366515298176</v>
      </c>
      <c r="U33" s="250">
        <f t="shared" si="12"/>
        <v>4999.4241368785479</v>
      </c>
      <c r="V33"/>
      <c r="W33" s="250">
        <f t="shared" si="13"/>
        <v>0</v>
      </c>
      <c r="X33" s="250">
        <f t="shared" si="14"/>
        <v>4900.4003361504401</v>
      </c>
      <c r="Y33" s="250">
        <f t="shared" si="15"/>
        <v>4900.4003361504401</v>
      </c>
      <c r="Z33" s="250">
        <f t="shared" si="16"/>
        <v>4773.0292982568217</v>
      </c>
      <c r="AA33"/>
      <c r="AB33" s="250">
        <f t="shared" si="17"/>
        <v>0</v>
      </c>
      <c r="AC33" s="250">
        <f t="shared" si="18"/>
        <v>16658.211396844054</v>
      </c>
      <c r="AD33" s="250">
        <f t="shared" si="19"/>
        <v>16658.211396844054</v>
      </c>
      <c r="AE33" s="250">
        <f t="shared" si="20"/>
        <v>16225.231736097783</v>
      </c>
      <c r="AF33"/>
      <c r="AG33" s="250">
        <f t="shared" si="21"/>
        <v>0</v>
      </c>
      <c r="AH33" s="250">
        <f t="shared" si="22"/>
        <v>11631.617940337508</v>
      </c>
      <c r="AI33" s="250">
        <f t="shared" si="23"/>
        <v>11631.617940337508</v>
      </c>
      <c r="AJ33" s="250">
        <f t="shared" si="24"/>
        <v>11329.289324752062</v>
      </c>
      <c r="AK33"/>
      <c r="AL33" s="250">
        <f t="shared" si="25"/>
        <v>0</v>
      </c>
      <c r="AM33" s="250">
        <f t="shared" si="26"/>
        <v>6759.976686354913</v>
      </c>
      <c r="AN33" s="250">
        <f t="shared" si="27"/>
        <v>6759.976686354913</v>
      </c>
      <c r="AO33" s="250">
        <f t="shared" si="28"/>
        <v>6584.2716035832318</v>
      </c>
      <c r="AP33"/>
      <c r="AQ33" s="250">
        <f t="shared" si="29"/>
        <v>0</v>
      </c>
      <c r="AR33" s="250">
        <f t="shared" si="30"/>
        <v>15790.03737272213</v>
      </c>
      <c r="AS33" s="250">
        <f t="shared" si="31"/>
        <v>15790.03737272213</v>
      </c>
      <c r="AT33" s="250">
        <f t="shared" si="32"/>
        <v>15379.623261510442</v>
      </c>
      <c r="AU33"/>
      <c r="AV33" s="250">
        <f t="shared" si="33"/>
        <v>0</v>
      </c>
      <c r="AW33" s="250">
        <f t="shared" si="34"/>
        <v>5516.0716738256178</v>
      </c>
      <c r="AX33" s="250">
        <f t="shared" si="35"/>
        <v>5516.0716738256178</v>
      </c>
      <c r="AY33" s="250">
        <f t="shared" si="36"/>
        <v>5372.6981275853768</v>
      </c>
    </row>
    <row r="34" spans="1:51" x14ac:dyDescent="0.2">
      <c r="A34" s="28">
        <v>13606</v>
      </c>
      <c r="C34" s="3">
        <v>7125000</v>
      </c>
      <c r="D34" s="3">
        <v>771700</v>
      </c>
      <c r="E34" s="3">
        <f t="shared" si="0"/>
        <v>7896700</v>
      </c>
      <c r="F34" s="3">
        <v>751642</v>
      </c>
      <c r="H34" s="136">
        <f t="shared" si="1"/>
        <v>694976.79306727054</v>
      </c>
      <c r="I34" s="136">
        <f t="shared" si="2"/>
        <v>75272.082976843885</v>
      </c>
      <c r="J34" s="136">
        <f t="shared" si="3"/>
        <v>770248.87604411447</v>
      </c>
      <c r="K34" s="5">
        <f t="shared" si="4"/>
        <v>73315.613571181675</v>
      </c>
      <c r="L34"/>
      <c r="M34" s="250">
        <f t="shared" si="5"/>
        <v>82014.879873578786</v>
      </c>
      <c r="N34" s="250">
        <f t="shared" si="6"/>
        <v>8882.9309190794029</v>
      </c>
      <c r="O34" s="250">
        <f t="shared" si="7"/>
        <v>90897.810792658187</v>
      </c>
      <c r="P34" s="250">
        <f t="shared" si="8"/>
        <v>8652.0460825174032</v>
      </c>
      <c r="R34" s="250">
        <f t="shared" si="9"/>
        <v>47390.775096734418</v>
      </c>
      <c r="S34" s="250">
        <f t="shared" si="10"/>
        <v>5132.8366515298176</v>
      </c>
      <c r="T34" s="250">
        <f t="shared" si="11"/>
        <v>52523.611748264237</v>
      </c>
      <c r="U34" s="250">
        <f t="shared" si="12"/>
        <v>4999.4241368785479</v>
      </c>
      <c r="V34"/>
      <c r="W34" s="250">
        <f t="shared" si="13"/>
        <v>45244.722554194486</v>
      </c>
      <c r="X34" s="250">
        <f t="shared" si="14"/>
        <v>4900.4003361504401</v>
      </c>
      <c r="Y34" s="250">
        <f t="shared" si="15"/>
        <v>50145.122890344923</v>
      </c>
      <c r="Z34" s="250">
        <f t="shared" si="16"/>
        <v>4773.0292982568217</v>
      </c>
      <c r="AA34"/>
      <c r="AB34" s="250">
        <f t="shared" si="17"/>
        <v>153802.97551187495</v>
      </c>
      <c r="AC34" s="250">
        <f t="shared" si="18"/>
        <v>16658.211396844054</v>
      </c>
      <c r="AD34" s="250">
        <f t="shared" si="19"/>
        <v>170461.18690871901</v>
      </c>
      <c r="AE34" s="250">
        <f t="shared" si="20"/>
        <v>16225.231736097783</v>
      </c>
      <c r="AF34"/>
      <c r="AG34" s="250">
        <f t="shared" si="21"/>
        <v>107393.12922755572</v>
      </c>
      <c r="AH34" s="250">
        <f t="shared" si="22"/>
        <v>11631.617940337508</v>
      </c>
      <c r="AI34" s="250">
        <f t="shared" si="23"/>
        <v>119024.74716789323</v>
      </c>
      <c r="AJ34" s="250">
        <f t="shared" si="24"/>
        <v>11329.289324752062</v>
      </c>
      <c r="AK34"/>
      <c r="AL34" s="250">
        <f t="shared" si="25"/>
        <v>62413.935324969236</v>
      </c>
      <c r="AM34" s="250">
        <f t="shared" si="26"/>
        <v>6759.976686354913</v>
      </c>
      <c r="AN34" s="250">
        <f t="shared" si="27"/>
        <v>69173.912011324152</v>
      </c>
      <c r="AO34" s="250">
        <f t="shared" si="28"/>
        <v>6584.2716035832318</v>
      </c>
      <c r="AP34"/>
      <c r="AQ34" s="250">
        <f t="shared" si="29"/>
        <v>145787.24411124166</v>
      </c>
      <c r="AR34" s="250">
        <f t="shared" si="30"/>
        <v>15790.03737272213</v>
      </c>
      <c r="AS34" s="250">
        <f t="shared" si="31"/>
        <v>161577.28148396377</v>
      </c>
      <c r="AT34" s="250">
        <f t="shared" si="32"/>
        <v>15379.623261510442</v>
      </c>
      <c r="AU34"/>
      <c r="AV34" s="250">
        <f t="shared" si="33"/>
        <v>50929.131367121328</v>
      </c>
      <c r="AW34" s="250">
        <f t="shared" si="34"/>
        <v>5516.0716738256178</v>
      </c>
      <c r="AX34" s="250">
        <f t="shared" si="35"/>
        <v>56445.203040946944</v>
      </c>
      <c r="AY34" s="250">
        <f t="shared" si="36"/>
        <v>5372.6981275853768</v>
      </c>
    </row>
    <row r="35" spans="1:51" x14ac:dyDescent="0.2">
      <c r="A35" s="28">
        <v>13789</v>
      </c>
      <c r="D35" s="3">
        <v>629200</v>
      </c>
      <c r="E35" s="3">
        <f t="shared" si="0"/>
        <v>629200</v>
      </c>
      <c r="F35" s="3">
        <v>751642</v>
      </c>
      <c r="H35" s="136">
        <f t="shared" si="1"/>
        <v>0</v>
      </c>
      <c r="I35" s="136">
        <f t="shared" si="2"/>
        <v>61372.54711549847</v>
      </c>
      <c r="J35" s="136">
        <f t="shared" si="3"/>
        <v>61372.54711549847</v>
      </c>
      <c r="K35" s="5">
        <f t="shared" si="4"/>
        <v>73315.613571181675</v>
      </c>
      <c r="L35"/>
      <c r="M35" s="250">
        <f t="shared" si="5"/>
        <v>0</v>
      </c>
      <c r="N35" s="250">
        <f t="shared" si="6"/>
        <v>7242.6333216078274</v>
      </c>
      <c r="O35" s="250">
        <f t="shared" si="7"/>
        <v>7242.6333216078274</v>
      </c>
      <c r="P35" s="250">
        <f t="shared" si="8"/>
        <v>8652.0460825174032</v>
      </c>
      <c r="R35" s="250">
        <f t="shared" si="9"/>
        <v>0</v>
      </c>
      <c r="S35" s="250">
        <f t="shared" si="10"/>
        <v>4185.0211495951289</v>
      </c>
      <c r="T35" s="250">
        <f t="shared" si="11"/>
        <v>4185.0211495951289</v>
      </c>
      <c r="U35" s="250">
        <f t="shared" si="12"/>
        <v>4999.4241368785479</v>
      </c>
      <c r="V35"/>
      <c r="W35" s="250">
        <f t="shared" si="13"/>
        <v>0</v>
      </c>
      <c r="X35" s="250">
        <f t="shared" si="14"/>
        <v>3995.5058850665505</v>
      </c>
      <c r="Y35" s="250">
        <f t="shared" si="15"/>
        <v>3995.5058850665505</v>
      </c>
      <c r="Z35" s="250">
        <f t="shared" si="16"/>
        <v>4773.0292982568217</v>
      </c>
      <c r="AA35"/>
      <c r="AB35" s="250">
        <f t="shared" si="17"/>
        <v>0</v>
      </c>
      <c r="AC35" s="250">
        <f t="shared" si="18"/>
        <v>13582.151886606556</v>
      </c>
      <c r="AD35" s="250">
        <f t="shared" si="19"/>
        <v>13582.151886606556</v>
      </c>
      <c r="AE35" s="250">
        <f t="shared" si="20"/>
        <v>16225.231736097783</v>
      </c>
      <c r="AF35"/>
      <c r="AG35" s="250">
        <f t="shared" si="21"/>
        <v>0</v>
      </c>
      <c r="AH35" s="250">
        <f t="shared" si="22"/>
        <v>9483.7553557863939</v>
      </c>
      <c r="AI35" s="250">
        <f t="shared" si="23"/>
        <v>9483.7553557863939</v>
      </c>
      <c r="AJ35" s="250">
        <f t="shared" si="24"/>
        <v>11329.289324752062</v>
      </c>
      <c r="AK35"/>
      <c r="AL35" s="250">
        <f t="shared" si="25"/>
        <v>0</v>
      </c>
      <c r="AM35" s="250">
        <f t="shared" si="26"/>
        <v>5511.6979798555285</v>
      </c>
      <c r="AN35" s="250">
        <f t="shared" si="27"/>
        <v>5511.6979798555285</v>
      </c>
      <c r="AO35" s="250">
        <f t="shared" si="28"/>
        <v>6584.2716035832318</v>
      </c>
      <c r="AP35"/>
      <c r="AQ35" s="250">
        <f t="shared" si="29"/>
        <v>0</v>
      </c>
      <c r="AR35" s="250">
        <f t="shared" si="30"/>
        <v>12874.292490497299</v>
      </c>
      <c r="AS35" s="250">
        <f t="shared" si="31"/>
        <v>12874.292490497299</v>
      </c>
      <c r="AT35" s="250">
        <f t="shared" si="32"/>
        <v>15379.623261510442</v>
      </c>
      <c r="AU35"/>
      <c r="AV35" s="250">
        <f t="shared" si="33"/>
        <v>0</v>
      </c>
      <c r="AW35" s="250">
        <f t="shared" si="34"/>
        <v>4497.4890464831915</v>
      </c>
      <c r="AX35" s="250">
        <f t="shared" si="35"/>
        <v>4497.4890464831915</v>
      </c>
      <c r="AY35" s="250">
        <f t="shared" si="36"/>
        <v>5372.6981275853768</v>
      </c>
    </row>
    <row r="36" spans="1:51" x14ac:dyDescent="0.2">
      <c r="A36" s="28">
        <v>13971</v>
      </c>
      <c r="C36" s="3">
        <v>7410000</v>
      </c>
      <c r="D36" s="3">
        <v>629200</v>
      </c>
      <c r="E36" s="3">
        <f t="shared" si="0"/>
        <v>8039200</v>
      </c>
      <c r="F36" s="3">
        <v>751642</v>
      </c>
      <c r="H36" s="136">
        <f t="shared" si="1"/>
        <v>722775.86478996137</v>
      </c>
      <c r="I36" s="136">
        <f t="shared" si="2"/>
        <v>61372.54711549847</v>
      </c>
      <c r="J36" s="136">
        <f t="shared" si="3"/>
        <v>784148.41190545983</v>
      </c>
      <c r="K36" s="5">
        <f t="shared" si="4"/>
        <v>73315.613571181675</v>
      </c>
      <c r="L36"/>
      <c r="M36" s="250">
        <f t="shared" si="5"/>
        <v>85295.475068521933</v>
      </c>
      <c r="N36" s="250">
        <f t="shared" si="6"/>
        <v>7242.6333216078274</v>
      </c>
      <c r="O36" s="250">
        <f t="shared" si="7"/>
        <v>92538.108390129753</v>
      </c>
      <c r="P36" s="250">
        <f t="shared" si="8"/>
        <v>8652.0460825174032</v>
      </c>
      <c r="R36" s="250">
        <f t="shared" si="9"/>
        <v>49286.406100603795</v>
      </c>
      <c r="S36" s="250">
        <f t="shared" si="10"/>
        <v>4185.0211495951289</v>
      </c>
      <c r="T36" s="250">
        <f t="shared" si="11"/>
        <v>53471.427250198925</v>
      </c>
      <c r="U36" s="250">
        <f t="shared" si="12"/>
        <v>4999.4241368785479</v>
      </c>
      <c r="V36"/>
      <c r="W36" s="250">
        <f t="shared" si="13"/>
        <v>47054.51145636227</v>
      </c>
      <c r="X36" s="250">
        <f t="shared" si="14"/>
        <v>3995.5058850665505</v>
      </c>
      <c r="Y36" s="250">
        <f t="shared" si="15"/>
        <v>51050.017341428822</v>
      </c>
      <c r="Z36" s="250">
        <f t="shared" si="16"/>
        <v>4773.0292982568217</v>
      </c>
      <c r="AA36"/>
      <c r="AB36" s="250">
        <f t="shared" si="17"/>
        <v>159955.09453234993</v>
      </c>
      <c r="AC36" s="250">
        <f t="shared" si="18"/>
        <v>13582.151886606556</v>
      </c>
      <c r="AD36" s="250">
        <f t="shared" si="19"/>
        <v>173537.24641895649</v>
      </c>
      <c r="AE36" s="250">
        <f t="shared" si="20"/>
        <v>16225.231736097783</v>
      </c>
      <c r="AF36"/>
      <c r="AG36" s="250">
        <f t="shared" si="21"/>
        <v>111688.85439665795</v>
      </c>
      <c r="AH36" s="250">
        <f t="shared" si="22"/>
        <v>9483.7553557863939</v>
      </c>
      <c r="AI36" s="250">
        <f t="shared" si="23"/>
        <v>121172.60975244435</v>
      </c>
      <c r="AJ36" s="250">
        <f t="shared" si="24"/>
        <v>11329.289324752062</v>
      </c>
      <c r="AK36"/>
      <c r="AL36" s="250">
        <f t="shared" si="25"/>
        <v>64910.492737968001</v>
      </c>
      <c r="AM36" s="250">
        <f t="shared" si="26"/>
        <v>5511.6979798555285</v>
      </c>
      <c r="AN36" s="250">
        <f t="shared" si="27"/>
        <v>70422.190717823527</v>
      </c>
      <c r="AO36" s="250">
        <f t="shared" si="28"/>
        <v>6584.2716035832318</v>
      </c>
      <c r="AP36"/>
      <c r="AQ36" s="250">
        <f t="shared" si="29"/>
        <v>151618.73387569131</v>
      </c>
      <c r="AR36" s="250">
        <f t="shared" si="30"/>
        <v>12874.292490497299</v>
      </c>
      <c r="AS36" s="250">
        <f t="shared" si="31"/>
        <v>164493.0263661886</v>
      </c>
      <c r="AT36" s="250">
        <f t="shared" si="32"/>
        <v>15379.623261510442</v>
      </c>
      <c r="AU36"/>
      <c r="AV36" s="250">
        <f t="shared" si="33"/>
        <v>52966.296621806185</v>
      </c>
      <c r="AW36" s="250">
        <f t="shared" si="34"/>
        <v>4497.4890464831915</v>
      </c>
      <c r="AX36" s="250">
        <f t="shared" si="35"/>
        <v>57463.785668289376</v>
      </c>
      <c r="AY36" s="250">
        <f t="shared" si="36"/>
        <v>5372.6981275853768</v>
      </c>
    </row>
    <row r="37" spans="1:51" x14ac:dyDescent="0.2">
      <c r="A37" s="28">
        <v>14154</v>
      </c>
      <c r="D37" s="3">
        <v>481000</v>
      </c>
      <c r="E37" s="3">
        <f t="shared" si="0"/>
        <v>481000</v>
      </c>
      <c r="F37" s="3">
        <v>751642</v>
      </c>
      <c r="H37" s="136">
        <f t="shared" si="1"/>
        <v>0</v>
      </c>
      <c r="I37" s="136">
        <f t="shared" si="2"/>
        <v>46917.029819699244</v>
      </c>
      <c r="J37" s="136">
        <f t="shared" si="3"/>
        <v>46917.029819699244</v>
      </c>
      <c r="K37" s="5">
        <f t="shared" si="4"/>
        <v>73315.613571181675</v>
      </c>
      <c r="L37"/>
      <c r="M37" s="250">
        <f t="shared" si="5"/>
        <v>0</v>
      </c>
      <c r="N37" s="250">
        <f t="shared" si="6"/>
        <v>5536.7238202373883</v>
      </c>
      <c r="O37" s="250">
        <f t="shared" si="7"/>
        <v>5536.7238202373883</v>
      </c>
      <c r="P37" s="250">
        <f t="shared" si="8"/>
        <v>8652.0460825174032</v>
      </c>
      <c r="R37" s="250">
        <f t="shared" si="9"/>
        <v>0</v>
      </c>
      <c r="S37" s="250">
        <f t="shared" si="10"/>
        <v>3199.2930275830531</v>
      </c>
      <c r="T37" s="250">
        <f t="shared" si="11"/>
        <v>3199.2930275830531</v>
      </c>
      <c r="U37" s="250">
        <f t="shared" si="12"/>
        <v>4999.4241368785479</v>
      </c>
      <c r="V37"/>
      <c r="W37" s="250">
        <f t="shared" si="13"/>
        <v>0</v>
      </c>
      <c r="X37" s="250">
        <f t="shared" si="14"/>
        <v>3054.415655939305</v>
      </c>
      <c r="Y37" s="250">
        <f t="shared" si="15"/>
        <v>3054.415655939305</v>
      </c>
      <c r="Z37" s="250">
        <f t="shared" si="16"/>
        <v>4773.0292982568217</v>
      </c>
      <c r="AA37"/>
      <c r="AB37" s="250">
        <f t="shared" si="17"/>
        <v>0</v>
      </c>
      <c r="AC37" s="250">
        <f t="shared" si="18"/>
        <v>10383.049995959556</v>
      </c>
      <c r="AD37" s="250">
        <f t="shared" si="19"/>
        <v>10383.049995959556</v>
      </c>
      <c r="AE37" s="250">
        <f t="shared" si="20"/>
        <v>16225.231736097783</v>
      </c>
      <c r="AF37"/>
      <c r="AG37" s="250">
        <f t="shared" si="21"/>
        <v>0</v>
      </c>
      <c r="AH37" s="250">
        <f t="shared" si="22"/>
        <v>7249.9782678532356</v>
      </c>
      <c r="AI37" s="250">
        <f t="shared" si="23"/>
        <v>7249.9782678532356</v>
      </c>
      <c r="AJ37" s="250">
        <f t="shared" si="24"/>
        <v>11329.289324752062</v>
      </c>
      <c r="AK37"/>
      <c r="AL37" s="250">
        <f t="shared" si="25"/>
        <v>0</v>
      </c>
      <c r="AM37" s="250">
        <f t="shared" si="26"/>
        <v>4213.4881250961689</v>
      </c>
      <c r="AN37" s="250">
        <f t="shared" si="27"/>
        <v>4213.4881250961689</v>
      </c>
      <c r="AO37" s="250">
        <f t="shared" si="28"/>
        <v>6584.2716035832318</v>
      </c>
      <c r="AP37"/>
      <c r="AQ37" s="250">
        <f t="shared" si="29"/>
        <v>0</v>
      </c>
      <c r="AR37" s="250">
        <f t="shared" si="30"/>
        <v>9841.9178129834709</v>
      </c>
      <c r="AS37" s="250">
        <f t="shared" si="31"/>
        <v>9841.9178129834709</v>
      </c>
      <c r="AT37" s="250">
        <f t="shared" si="32"/>
        <v>15379.623261510442</v>
      </c>
      <c r="AU37"/>
      <c r="AV37" s="250">
        <f t="shared" si="33"/>
        <v>0</v>
      </c>
      <c r="AW37" s="250">
        <f t="shared" si="34"/>
        <v>3438.1631140470681</v>
      </c>
      <c r="AX37" s="250">
        <f t="shared" si="35"/>
        <v>3438.1631140470681</v>
      </c>
      <c r="AY37" s="250">
        <f t="shared" si="36"/>
        <v>5372.6981275853768</v>
      </c>
    </row>
    <row r="38" spans="1:51" x14ac:dyDescent="0.2">
      <c r="A38" s="28">
        <v>14336</v>
      </c>
      <c r="C38" s="3">
        <v>7705000</v>
      </c>
      <c r="D38" s="3">
        <v>481000</v>
      </c>
      <c r="E38" s="3">
        <f t="shared" si="0"/>
        <v>8186000</v>
      </c>
      <c r="F38" s="3">
        <v>751642</v>
      </c>
      <c r="H38" s="136">
        <f t="shared" si="1"/>
        <v>751550.34253800975</v>
      </c>
      <c r="I38" s="136">
        <f t="shared" si="2"/>
        <v>46917.029819699244</v>
      </c>
      <c r="J38" s="136">
        <f t="shared" si="3"/>
        <v>798467.37235770898</v>
      </c>
      <c r="K38" s="5">
        <f t="shared" si="4"/>
        <v>73315.613571181675</v>
      </c>
      <c r="L38"/>
      <c r="M38" s="250">
        <f t="shared" si="5"/>
        <v>88691.178866796414</v>
      </c>
      <c r="N38" s="250">
        <f t="shared" si="6"/>
        <v>5536.7238202373883</v>
      </c>
      <c r="O38" s="250">
        <f t="shared" si="7"/>
        <v>94227.902687033798</v>
      </c>
      <c r="P38" s="250">
        <f t="shared" si="8"/>
        <v>8652.0460825174032</v>
      </c>
      <c r="R38" s="250">
        <f t="shared" si="9"/>
        <v>51248.550473029987</v>
      </c>
      <c r="S38" s="250">
        <f t="shared" si="10"/>
        <v>3199.2930275830531</v>
      </c>
      <c r="T38" s="250">
        <f t="shared" si="11"/>
        <v>54447.843500613038</v>
      </c>
      <c r="U38" s="250">
        <f t="shared" si="12"/>
        <v>4999.4241368785479</v>
      </c>
      <c r="V38"/>
      <c r="W38" s="250">
        <f t="shared" si="13"/>
        <v>48927.801723518394</v>
      </c>
      <c r="X38" s="250">
        <f t="shared" si="14"/>
        <v>3054.415655939305</v>
      </c>
      <c r="Y38" s="250">
        <f t="shared" si="15"/>
        <v>51982.217379457696</v>
      </c>
      <c r="Z38" s="250">
        <f t="shared" si="16"/>
        <v>4773.0292982568217</v>
      </c>
      <c r="AA38"/>
      <c r="AB38" s="250">
        <f t="shared" si="17"/>
        <v>166323.07737810476</v>
      </c>
      <c r="AC38" s="250">
        <f t="shared" si="18"/>
        <v>10383.049995959556</v>
      </c>
      <c r="AD38" s="250">
        <f t="shared" si="19"/>
        <v>176706.12737406432</v>
      </c>
      <c r="AE38" s="250">
        <f t="shared" si="20"/>
        <v>16225.231736097783</v>
      </c>
      <c r="AF38"/>
      <c r="AG38" s="250">
        <f t="shared" si="21"/>
        <v>116135.30676467605</v>
      </c>
      <c r="AH38" s="250">
        <f t="shared" si="22"/>
        <v>7249.9782678532356</v>
      </c>
      <c r="AI38" s="250">
        <f t="shared" si="23"/>
        <v>123385.28503252928</v>
      </c>
      <c r="AJ38" s="250">
        <f t="shared" si="24"/>
        <v>11329.289324752062</v>
      </c>
      <c r="AK38"/>
      <c r="AL38" s="250">
        <f t="shared" si="25"/>
        <v>67494.648656686026</v>
      </c>
      <c r="AM38" s="250">
        <f t="shared" si="26"/>
        <v>4213.4881250961689</v>
      </c>
      <c r="AN38" s="250">
        <f t="shared" si="27"/>
        <v>71708.136781782188</v>
      </c>
      <c r="AO38" s="250">
        <f t="shared" si="28"/>
        <v>6584.2716035832318</v>
      </c>
      <c r="AP38"/>
      <c r="AQ38" s="250">
        <f t="shared" si="29"/>
        <v>157654.83731608657</v>
      </c>
      <c r="AR38" s="250">
        <f t="shared" si="30"/>
        <v>9841.9178129834709</v>
      </c>
      <c r="AS38" s="250">
        <f t="shared" si="31"/>
        <v>167496.75512907005</v>
      </c>
      <c r="AT38" s="250">
        <f t="shared" si="32"/>
        <v>15379.623261510442</v>
      </c>
      <c r="AU38"/>
      <c r="AV38" s="250">
        <f t="shared" si="33"/>
        <v>55074.941359111559</v>
      </c>
      <c r="AW38" s="250">
        <f t="shared" si="34"/>
        <v>3438.1631140470681</v>
      </c>
      <c r="AX38" s="250">
        <f t="shared" si="35"/>
        <v>58513.10447315863</v>
      </c>
      <c r="AY38" s="250">
        <f t="shared" si="36"/>
        <v>5372.6981275853768</v>
      </c>
    </row>
    <row r="39" spans="1:51" x14ac:dyDescent="0.2">
      <c r="A39" s="28">
        <v>14519</v>
      </c>
      <c r="D39" s="3">
        <v>326900</v>
      </c>
      <c r="E39" s="3">
        <f t="shared" si="0"/>
        <v>326900</v>
      </c>
      <c r="F39" s="3">
        <v>751642</v>
      </c>
      <c r="H39" s="136">
        <f t="shared" si="1"/>
        <v>0</v>
      </c>
      <c r="I39" s="136">
        <f t="shared" si="2"/>
        <v>31886.022968939051</v>
      </c>
      <c r="J39" s="136">
        <f t="shared" si="3"/>
        <v>31886.022968939051</v>
      </c>
      <c r="K39" s="5">
        <f t="shared" si="4"/>
        <v>73315.613571181675</v>
      </c>
      <c r="L39"/>
      <c r="M39" s="250">
        <f t="shared" si="5"/>
        <v>0</v>
      </c>
      <c r="N39" s="250">
        <f t="shared" si="6"/>
        <v>3762.9002429014599</v>
      </c>
      <c r="O39" s="250">
        <f t="shared" si="7"/>
        <v>3762.9002429014599</v>
      </c>
      <c r="P39" s="250">
        <f t="shared" si="8"/>
        <v>8652.0460825174032</v>
      </c>
      <c r="R39" s="250">
        <f t="shared" si="9"/>
        <v>0</v>
      </c>
      <c r="S39" s="250">
        <f t="shared" si="10"/>
        <v>2174.3220181224533</v>
      </c>
      <c r="T39" s="250">
        <f t="shared" si="11"/>
        <v>2174.3220181224533</v>
      </c>
      <c r="U39" s="250">
        <f t="shared" si="12"/>
        <v>4999.4241368785479</v>
      </c>
      <c r="V39"/>
      <c r="W39" s="250">
        <f t="shared" si="13"/>
        <v>0</v>
      </c>
      <c r="X39" s="250">
        <f t="shared" si="14"/>
        <v>2075.8596214689373</v>
      </c>
      <c r="Y39" s="250">
        <f t="shared" si="15"/>
        <v>2075.8596214689373</v>
      </c>
      <c r="Z39" s="250">
        <f t="shared" si="16"/>
        <v>4773.0292982568217</v>
      </c>
      <c r="AA39"/>
      <c r="AB39" s="250">
        <f t="shared" si="17"/>
        <v>0</v>
      </c>
      <c r="AC39" s="250">
        <f t="shared" si="18"/>
        <v>7056.5884483974623</v>
      </c>
      <c r="AD39" s="250">
        <f t="shared" si="19"/>
        <v>7056.5884483974623</v>
      </c>
      <c r="AE39" s="250">
        <f t="shared" si="20"/>
        <v>16225.231736097783</v>
      </c>
      <c r="AF39"/>
      <c r="AG39" s="250">
        <f t="shared" si="21"/>
        <v>0</v>
      </c>
      <c r="AH39" s="250">
        <f t="shared" si="22"/>
        <v>4927.272132559714</v>
      </c>
      <c r="AI39" s="250">
        <f t="shared" si="23"/>
        <v>4927.272132559714</v>
      </c>
      <c r="AJ39" s="250">
        <f t="shared" si="24"/>
        <v>11329.289324752062</v>
      </c>
      <c r="AK39"/>
      <c r="AL39" s="250">
        <f t="shared" si="25"/>
        <v>0</v>
      </c>
      <c r="AM39" s="250">
        <f t="shared" si="26"/>
        <v>2863.5951519624482</v>
      </c>
      <c r="AN39" s="250">
        <f t="shared" si="27"/>
        <v>2863.5951519624482</v>
      </c>
      <c r="AO39" s="250">
        <f t="shared" si="28"/>
        <v>6584.2716035832318</v>
      </c>
      <c r="AP39"/>
      <c r="AQ39" s="250">
        <f t="shared" si="29"/>
        <v>0</v>
      </c>
      <c r="AR39" s="250">
        <f t="shared" si="30"/>
        <v>6688.8210666617397</v>
      </c>
      <c r="AS39" s="250">
        <f t="shared" si="31"/>
        <v>6688.8210666617397</v>
      </c>
      <c r="AT39" s="250">
        <f t="shared" si="32"/>
        <v>15379.623261510442</v>
      </c>
      <c r="AU39"/>
      <c r="AV39" s="250">
        <f t="shared" si="33"/>
        <v>0</v>
      </c>
      <c r="AW39" s="250">
        <f t="shared" si="34"/>
        <v>2336.6642868648369</v>
      </c>
      <c r="AX39" s="250">
        <f t="shared" si="35"/>
        <v>2336.6642868648369</v>
      </c>
      <c r="AY39" s="250">
        <f t="shared" si="36"/>
        <v>5372.6981275853768</v>
      </c>
    </row>
    <row r="40" spans="1:51" x14ac:dyDescent="0.2">
      <c r="A40" s="28">
        <v>14702</v>
      </c>
      <c r="C40" s="3">
        <v>8010000</v>
      </c>
      <c r="D40" s="3">
        <v>326900</v>
      </c>
      <c r="E40" s="3">
        <f t="shared" si="0"/>
        <v>8336900</v>
      </c>
      <c r="F40" s="3">
        <v>751642</v>
      </c>
      <c r="H40" s="136">
        <f t="shared" si="1"/>
        <v>781300.22631141567</v>
      </c>
      <c r="I40" s="136">
        <f t="shared" si="2"/>
        <v>31886.022968939051</v>
      </c>
      <c r="J40" s="136">
        <f t="shared" si="3"/>
        <v>813186.24928035471</v>
      </c>
      <c r="K40" s="5">
        <f t="shared" si="4"/>
        <v>73315.613571181675</v>
      </c>
      <c r="L40"/>
      <c r="M40" s="250">
        <f t="shared" si="5"/>
        <v>92201.991268402242</v>
      </c>
      <c r="N40" s="250">
        <f t="shared" si="6"/>
        <v>3762.9002429014599</v>
      </c>
      <c r="O40" s="250">
        <f t="shared" si="7"/>
        <v>95964.891511303707</v>
      </c>
      <c r="P40" s="250">
        <f t="shared" si="8"/>
        <v>8652.0460825174032</v>
      </c>
      <c r="R40" s="250">
        <f t="shared" si="9"/>
        <v>53277.208214013008</v>
      </c>
      <c r="S40" s="250">
        <f t="shared" si="10"/>
        <v>2174.3220181224533</v>
      </c>
      <c r="T40" s="250">
        <f t="shared" si="11"/>
        <v>55451.530232135461</v>
      </c>
      <c r="U40" s="250">
        <f t="shared" si="12"/>
        <v>4999.4241368785479</v>
      </c>
      <c r="V40"/>
      <c r="W40" s="250">
        <f t="shared" si="13"/>
        <v>50864.593355662859</v>
      </c>
      <c r="X40" s="250">
        <f t="shared" si="14"/>
        <v>2075.8596214689373</v>
      </c>
      <c r="Y40" s="250">
        <f t="shared" si="15"/>
        <v>52940.452977131798</v>
      </c>
      <c r="Z40" s="250">
        <f t="shared" si="16"/>
        <v>4773.0292982568217</v>
      </c>
      <c r="AA40"/>
      <c r="AB40" s="250">
        <f t="shared" si="17"/>
        <v>172906.9240491394</v>
      </c>
      <c r="AC40" s="250">
        <f t="shared" si="18"/>
        <v>7056.5884483974623</v>
      </c>
      <c r="AD40" s="250">
        <f t="shared" si="19"/>
        <v>179963.51249753687</v>
      </c>
      <c r="AE40" s="250">
        <f t="shared" si="20"/>
        <v>16225.231736097783</v>
      </c>
      <c r="AF40"/>
      <c r="AG40" s="250">
        <f t="shared" si="21"/>
        <v>120732.48633161001</v>
      </c>
      <c r="AH40" s="250">
        <f t="shared" si="22"/>
        <v>4927.272132559714</v>
      </c>
      <c r="AI40" s="250">
        <f t="shared" si="23"/>
        <v>125659.75846416972</v>
      </c>
      <c r="AJ40" s="250">
        <f t="shared" si="24"/>
        <v>11329.289324752062</v>
      </c>
      <c r="AK40"/>
      <c r="AL40" s="250">
        <f t="shared" si="25"/>
        <v>70166.40308112331</v>
      </c>
      <c r="AM40" s="250">
        <f t="shared" si="26"/>
        <v>2863.5951519624482</v>
      </c>
      <c r="AN40" s="250">
        <f t="shared" si="27"/>
        <v>73029.99823308576</v>
      </c>
      <c r="AO40" s="250">
        <f t="shared" si="28"/>
        <v>6584.2716035832318</v>
      </c>
      <c r="AP40"/>
      <c r="AQ40" s="250">
        <f t="shared" si="29"/>
        <v>163895.55443242745</v>
      </c>
      <c r="AR40" s="250">
        <f t="shared" si="30"/>
        <v>6688.8210666617397</v>
      </c>
      <c r="AS40" s="250">
        <f t="shared" si="31"/>
        <v>170584.37549908919</v>
      </c>
      <c r="AT40" s="250">
        <f t="shared" si="32"/>
        <v>15379.623261510442</v>
      </c>
      <c r="AU40"/>
      <c r="AV40" s="250">
        <f t="shared" si="33"/>
        <v>57255.065579037451</v>
      </c>
      <c r="AW40" s="250">
        <f t="shared" si="34"/>
        <v>2336.6642868648369</v>
      </c>
      <c r="AX40" s="250">
        <f t="shared" si="35"/>
        <v>59591.729865902285</v>
      </c>
      <c r="AY40" s="250">
        <f t="shared" si="36"/>
        <v>5372.6981275853768</v>
      </c>
    </row>
    <row r="41" spans="1:51" x14ac:dyDescent="0.2">
      <c r="A41" s="28">
        <v>14885</v>
      </c>
      <c r="D41" s="3">
        <v>166700</v>
      </c>
      <c r="E41" s="3">
        <f t="shared" si="0"/>
        <v>166700</v>
      </c>
      <c r="F41" s="3">
        <v>751642</v>
      </c>
      <c r="H41" s="136">
        <f t="shared" si="1"/>
        <v>0</v>
      </c>
      <c r="I41" s="136">
        <f t="shared" si="2"/>
        <v>16260.018442710736</v>
      </c>
      <c r="J41" s="136">
        <f t="shared" si="3"/>
        <v>16260.018442710736</v>
      </c>
      <c r="K41" s="5">
        <f t="shared" si="4"/>
        <v>73315.613571181675</v>
      </c>
      <c r="L41"/>
      <c r="M41" s="250">
        <f t="shared" si="5"/>
        <v>0</v>
      </c>
      <c r="N41" s="250">
        <f t="shared" si="6"/>
        <v>1918.8604175334151</v>
      </c>
      <c r="O41" s="250">
        <f t="shared" si="7"/>
        <v>1918.8604175334151</v>
      </c>
      <c r="P41" s="250">
        <f t="shared" si="8"/>
        <v>8652.0460825174032</v>
      </c>
      <c r="R41" s="250">
        <f t="shared" si="9"/>
        <v>0</v>
      </c>
      <c r="S41" s="250">
        <f t="shared" si="10"/>
        <v>1108.7778538421933</v>
      </c>
      <c r="T41" s="250">
        <f t="shared" si="11"/>
        <v>1108.7778538421933</v>
      </c>
      <c r="U41" s="250">
        <f t="shared" si="12"/>
        <v>4999.4241368785479</v>
      </c>
      <c r="V41"/>
      <c r="W41" s="250">
        <f t="shared" si="13"/>
        <v>0</v>
      </c>
      <c r="X41" s="250">
        <f t="shared" si="14"/>
        <v>1058.5677543556801</v>
      </c>
      <c r="Y41" s="250">
        <f t="shared" si="15"/>
        <v>1058.5677543556801</v>
      </c>
      <c r="Z41" s="250">
        <f t="shared" si="16"/>
        <v>4773.0292982568217</v>
      </c>
      <c r="AA41"/>
      <c r="AB41" s="250">
        <f t="shared" si="17"/>
        <v>0</v>
      </c>
      <c r="AC41" s="250">
        <f t="shared" si="18"/>
        <v>3598.4499674146741</v>
      </c>
      <c r="AD41" s="250">
        <f t="shared" si="19"/>
        <v>3598.4499674146741</v>
      </c>
      <c r="AE41" s="250">
        <f t="shared" si="20"/>
        <v>16225.231736097783</v>
      </c>
      <c r="AF41"/>
      <c r="AG41" s="250">
        <f t="shared" si="21"/>
        <v>0</v>
      </c>
      <c r="AH41" s="250">
        <f t="shared" si="22"/>
        <v>2512.6224059275141</v>
      </c>
      <c r="AI41" s="250">
        <f t="shared" si="23"/>
        <v>2512.6224059275141</v>
      </c>
      <c r="AJ41" s="250">
        <f t="shared" si="24"/>
        <v>11329.289324752062</v>
      </c>
      <c r="AK41"/>
      <c r="AL41" s="250">
        <f t="shared" si="25"/>
        <v>0</v>
      </c>
      <c r="AM41" s="250">
        <f t="shared" si="26"/>
        <v>1460.2670903399819</v>
      </c>
      <c r="AN41" s="250">
        <f t="shared" si="27"/>
        <v>1460.2670903399819</v>
      </c>
      <c r="AO41" s="250">
        <f t="shared" si="28"/>
        <v>6584.2716035832318</v>
      </c>
      <c r="AP41"/>
      <c r="AQ41" s="250">
        <f t="shared" si="29"/>
        <v>0</v>
      </c>
      <c r="AR41" s="250">
        <f t="shared" si="30"/>
        <v>3410.9099780131905</v>
      </c>
      <c r="AS41" s="250">
        <f t="shared" si="31"/>
        <v>3410.9099780131905</v>
      </c>
      <c r="AT41" s="250">
        <f t="shared" si="32"/>
        <v>15379.623261510442</v>
      </c>
      <c r="AU41"/>
      <c r="AV41" s="250">
        <f t="shared" si="33"/>
        <v>0</v>
      </c>
      <c r="AW41" s="250">
        <f t="shared" si="34"/>
        <v>1191.5629752840878</v>
      </c>
      <c r="AX41" s="250">
        <f t="shared" si="35"/>
        <v>1191.5629752840878</v>
      </c>
      <c r="AY41" s="250">
        <f t="shared" si="36"/>
        <v>5372.6981275853768</v>
      </c>
    </row>
    <row r="42" spans="1:51" x14ac:dyDescent="0.2">
      <c r="A42" s="28">
        <v>15067</v>
      </c>
      <c r="C42" s="3">
        <v>8335000</v>
      </c>
      <c r="D42" s="3">
        <v>166700</v>
      </c>
      <c r="E42" s="3">
        <f t="shared" si="0"/>
        <v>8501700</v>
      </c>
      <c r="F42" s="3">
        <v>751642</v>
      </c>
      <c r="H42" s="136">
        <f t="shared" si="1"/>
        <v>813000.92213553679</v>
      </c>
      <c r="I42" s="136">
        <f t="shared" si="2"/>
        <v>16260.018442710736</v>
      </c>
      <c r="J42" s="136">
        <f t="shared" si="3"/>
        <v>829260.94057824754</v>
      </c>
      <c r="K42" s="5">
        <f t="shared" si="4"/>
        <v>73315.613571181675</v>
      </c>
      <c r="L42"/>
      <c r="M42" s="250">
        <f t="shared" si="5"/>
        <v>95943.020876670751</v>
      </c>
      <c r="N42" s="250">
        <f t="shared" si="6"/>
        <v>1918.8604175334151</v>
      </c>
      <c r="O42" s="250">
        <f t="shared" si="7"/>
        <v>97861.88129420417</v>
      </c>
      <c r="P42" s="250">
        <f t="shared" si="8"/>
        <v>8652.0460825174032</v>
      </c>
      <c r="R42" s="250">
        <f t="shared" si="9"/>
        <v>55438.892692109664</v>
      </c>
      <c r="S42" s="250">
        <f t="shared" si="10"/>
        <v>1108.7778538421933</v>
      </c>
      <c r="T42" s="250">
        <f t="shared" si="11"/>
        <v>56547.670545951856</v>
      </c>
      <c r="U42" s="250">
        <f t="shared" si="12"/>
        <v>4999.4241368785479</v>
      </c>
      <c r="V42"/>
      <c r="W42" s="250">
        <f t="shared" si="13"/>
        <v>52928.387717784011</v>
      </c>
      <c r="X42" s="250">
        <f t="shared" si="14"/>
        <v>1058.5677543556801</v>
      </c>
      <c r="Y42" s="250">
        <f t="shared" si="15"/>
        <v>53986.955472139693</v>
      </c>
      <c r="Z42" s="250">
        <f t="shared" si="16"/>
        <v>4773.0292982568217</v>
      </c>
      <c r="AA42"/>
      <c r="AB42" s="250">
        <f t="shared" si="17"/>
        <v>179922.49837073369</v>
      </c>
      <c r="AC42" s="250">
        <f t="shared" si="18"/>
        <v>3598.4499674146741</v>
      </c>
      <c r="AD42" s="250">
        <f t="shared" si="19"/>
        <v>183520.94833814836</v>
      </c>
      <c r="AE42" s="250">
        <f t="shared" si="20"/>
        <v>16225.231736097783</v>
      </c>
      <c r="AF42"/>
      <c r="AG42" s="250">
        <f t="shared" si="21"/>
        <v>125631.12029637571</v>
      </c>
      <c r="AH42" s="250">
        <f t="shared" si="22"/>
        <v>2512.6224059275141</v>
      </c>
      <c r="AI42" s="250">
        <f t="shared" si="23"/>
        <v>128143.74270230322</v>
      </c>
      <c r="AJ42" s="250">
        <f t="shared" si="24"/>
        <v>11329.289324752062</v>
      </c>
      <c r="AK42"/>
      <c r="AL42" s="250">
        <f t="shared" si="25"/>
        <v>73013.354516999098</v>
      </c>
      <c r="AM42" s="250">
        <f t="shared" si="26"/>
        <v>1460.2670903399819</v>
      </c>
      <c r="AN42" s="250">
        <f t="shared" si="27"/>
        <v>74473.621607339082</v>
      </c>
      <c r="AO42" s="250">
        <f t="shared" si="28"/>
        <v>6584.2716035832318</v>
      </c>
      <c r="AP42"/>
      <c r="AQ42" s="250">
        <f t="shared" si="29"/>
        <v>170545.49890065953</v>
      </c>
      <c r="AR42" s="250">
        <f t="shared" si="30"/>
        <v>3410.9099780131905</v>
      </c>
      <c r="AS42" s="250">
        <f t="shared" si="31"/>
        <v>173956.40887867272</v>
      </c>
      <c r="AT42" s="250">
        <f t="shared" si="32"/>
        <v>15379.623261510442</v>
      </c>
      <c r="AU42"/>
      <c r="AV42" s="250">
        <f t="shared" si="33"/>
        <v>59578.148764204394</v>
      </c>
      <c r="AW42" s="250">
        <f t="shared" si="34"/>
        <v>1191.5629752840878</v>
      </c>
      <c r="AX42" s="250">
        <f t="shared" si="35"/>
        <v>60769.711739488484</v>
      </c>
      <c r="AY42" s="250">
        <f t="shared" si="36"/>
        <v>5372.6981275853768</v>
      </c>
    </row>
    <row r="43" spans="1:51" x14ac:dyDescent="0.2"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J43"/>
      <c r="AK43"/>
      <c r="AL43"/>
      <c r="AM43"/>
      <c r="AO43"/>
      <c r="AP43"/>
      <c r="AQ43"/>
      <c r="AR43"/>
      <c r="AT43"/>
      <c r="AU43"/>
      <c r="AV43"/>
      <c r="AW43"/>
      <c r="AY43"/>
    </row>
    <row r="44" spans="1:51" ht="13.5" thickBot="1" x14ac:dyDescent="0.25">
      <c r="A44" s="30" t="s">
        <v>4</v>
      </c>
      <c r="C44" s="31">
        <f>SUM(C9:C43)</f>
        <v>104165000</v>
      </c>
      <c r="D44" s="31">
        <f>SUM(D9:D43)</f>
        <v>43158950</v>
      </c>
      <c r="E44" s="31">
        <f>SUM(E9:E43)</f>
        <v>147323950</v>
      </c>
      <c r="F44" s="31">
        <f>SUM(F9:F43)</f>
        <v>25555828</v>
      </c>
      <c r="H44" s="31">
        <f>SUM(H9:H43)</f>
        <v>10160316.863137158</v>
      </c>
      <c r="I44" s="31">
        <f>SUM(I9:I43)</f>
        <v>4209749.987810621</v>
      </c>
      <c r="J44" s="31">
        <f>SUM(J9:J43)</f>
        <v>14370066.850947781</v>
      </c>
      <c r="K44" s="31">
        <f>SUM(K9:K43)</f>
        <v>2492730.8614201779</v>
      </c>
      <c r="M44" s="31">
        <f>SUM(M9:M43)</f>
        <v>1199028.7666008892</v>
      </c>
      <c r="N44" s="31">
        <f>SUM(N9:N43)</f>
        <v>496796.64557470777</v>
      </c>
      <c r="O44" s="31">
        <f>SUM(O9:O43)</f>
        <v>1695825.4121755967</v>
      </c>
      <c r="P44" s="31">
        <f>SUM(P9:P43)</f>
        <v>294169.56680559169</v>
      </c>
      <c r="Q44" s="3"/>
      <c r="R44" s="31">
        <f>SUM(R9:R43)</f>
        <v>692836.503572118</v>
      </c>
      <c r="S44" s="31">
        <f>SUM(S9:S43)</f>
        <v>287064.7147875377</v>
      </c>
      <c r="T44" s="31">
        <f>SUM(T9:T43)</f>
        <v>979901.21835965535</v>
      </c>
      <c r="U44" s="31">
        <f>SUM(U9:U43)</f>
        <v>169980.42065387053</v>
      </c>
      <c r="W44" s="31">
        <f>SUM(W9:W43)</f>
        <v>661461.96840107639</v>
      </c>
      <c r="X44" s="31">
        <f>SUM(X9:X43)</f>
        <v>274065.22364636516</v>
      </c>
      <c r="Y44" s="31">
        <f>SUM(Y9:Y43)</f>
        <v>935527.19204744149</v>
      </c>
      <c r="Z44" s="31">
        <f>SUM(Z9:Z43)</f>
        <v>162282.99614073194</v>
      </c>
      <c r="AB44" s="31">
        <f>SUM(AB9:AB43)</f>
        <v>2248545.5360272918</v>
      </c>
      <c r="AC44" s="31">
        <f>SUM(AC9:AC43)</f>
        <v>931645.60420606798</v>
      </c>
      <c r="AD44" s="31">
        <f>SUM(AD9:AD43)</f>
        <v>3180191.1402333598</v>
      </c>
      <c r="AE44" s="31">
        <f>SUM(AE9:AE43)</f>
        <v>551657.8790273245</v>
      </c>
      <c r="AG44" s="31">
        <f>SUM(AG9:AG43)</f>
        <v>1570049.867507136</v>
      </c>
      <c r="AH44" s="31">
        <f>SUM(AH9:AH43)</f>
        <v>650522.76416499889</v>
      </c>
      <c r="AI44" s="31">
        <f>SUM(AI9:AI43)</f>
        <v>2220572.6316721342</v>
      </c>
      <c r="AJ44" s="31">
        <f>SUM(AJ9:AJ43)</f>
        <v>385195.83704156993</v>
      </c>
      <c r="AL44" s="31">
        <f>SUM(AL9:AL43)</f>
        <v>912469.83482462051</v>
      </c>
      <c r="AM44" s="31">
        <f>SUM(AM9:AM43)</f>
        <v>378065.95284120424</v>
      </c>
      <c r="AN44" s="31">
        <f>SUM(AN9:AN43)</f>
        <v>1290535.7876658246</v>
      </c>
      <c r="AO44" s="31">
        <f>SUM(AO9:AO43)</f>
        <v>223865.23452182999</v>
      </c>
      <c r="AQ44" s="31">
        <f>SUM(AQ9:AQ43)</f>
        <v>2131358.3554873667</v>
      </c>
      <c r="AR44" s="31">
        <f>SUM(AR9:AR43)</f>
        <v>883091.14094524528</v>
      </c>
      <c r="AS44" s="31">
        <f>SUM(AS9:AS43)</f>
        <v>3014449.4964326122</v>
      </c>
      <c r="AT44" s="31">
        <f>SUM(AT9:AT43)</f>
        <v>522907.19089135528</v>
      </c>
      <c r="AV44" s="31">
        <f>SUM(AV9:AV43)</f>
        <v>744566.03071665869</v>
      </c>
      <c r="AW44" s="31">
        <f>SUM(AW9:AW43)</f>
        <v>308497.94164449425</v>
      </c>
      <c r="AX44" s="31">
        <f>SUM(AX9:AX43)</f>
        <v>1053063.9723611528</v>
      </c>
      <c r="AY44" s="31">
        <f>SUM(AY9:AY43)</f>
        <v>182671.73633790281</v>
      </c>
    </row>
    <row r="45" spans="1:51" ht="13.5" thickTop="1" x14ac:dyDescent="0.2"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</row>
    <row r="46" spans="1:51" x14ac:dyDescent="0.2"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</row>
    <row r="47" spans="1:51" x14ac:dyDescent="0.2"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</row>
    <row r="48" spans="1:51" x14ac:dyDescent="0.2"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</row>
    <row r="49" spans="1:51" x14ac:dyDescent="0.2"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</row>
    <row r="50" spans="1:51" x14ac:dyDescent="0.2"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</row>
    <row r="51" spans="1:51" x14ac:dyDescent="0.2"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</row>
    <row r="52" spans="1:51" x14ac:dyDescent="0.2">
      <c r="A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</row>
    <row r="53" spans="1:51" x14ac:dyDescent="0.2">
      <c r="A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</row>
    <row r="54" spans="1:51" x14ac:dyDescent="0.2">
      <c r="A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</row>
    <row r="55" spans="1:51" x14ac:dyDescent="0.2">
      <c r="A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</row>
    <row r="56" spans="1:51" x14ac:dyDescent="0.2">
      <c r="A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</row>
    <row r="57" spans="1:51" x14ac:dyDescent="0.2">
      <c r="A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</row>
    <row r="58" spans="1:51" x14ac:dyDescent="0.2">
      <c r="A58"/>
      <c r="C58"/>
      <c r="D58"/>
      <c r="E58"/>
      <c r="F58"/>
    </row>
    <row r="59" spans="1:51" x14ac:dyDescent="0.2">
      <c r="A59"/>
      <c r="C59"/>
      <c r="D59"/>
      <c r="E59"/>
      <c r="F59"/>
    </row>
    <row r="60" spans="1:51" x14ac:dyDescent="0.2">
      <c r="A60"/>
      <c r="C60"/>
      <c r="D60"/>
      <c r="E60"/>
      <c r="F60"/>
    </row>
    <row r="61" spans="1:51" x14ac:dyDescent="0.2">
      <c r="A61"/>
      <c r="C61"/>
      <c r="D61"/>
      <c r="E61"/>
      <c r="F61"/>
    </row>
    <row r="62" spans="1:51" x14ac:dyDescent="0.2">
      <c r="A62"/>
      <c r="C62"/>
      <c r="D62"/>
      <c r="E62"/>
      <c r="F62"/>
    </row>
    <row r="63" spans="1:51" x14ac:dyDescent="0.2">
      <c r="A63"/>
      <c r="C63"/>
      <c r="D63"/>
      <c r="E63"/>
      <c r="F63"/>
    </row>
    <row r="64" spans="1:51" x14ac:dyDescent="0.2">
      <c r="A64"/>
      <c r="C64"/>
      <c r="D64"/>
      <c r="E64"/>
      <c r="F64"/>
    </row>
    <row r="65" spans="1:6" x14ac:dyDescent="0.2">
      <c r="A65"/>
      <c r="C65"/>
      <c r="D65"/>
      <c r="E65"/>
      <c r="F65"/>
    </row>
    <row r="66" spans="1:6" x14ac:dyDescent="0.2">
      <c r="A66"/>
      <c r="C66"/>
      <c r="D66"/>
      <c r="E66"/>
      <c r="F66"/>
    </row>
    <row r="67" spans="1:6" x14ac:dyDescent="0.2">
      <c r="A67"/>
      <c r="C67"/>
      <c r="D67"/>
      <c r="E67"/>
      <c r="F67"/>
    </row>
    <row r="68" spans="1:6" x14ac:dyDescent="0.2">
      <c r="A68"/>
      <c r="C68"/>
      <c r="D68"/>
      <c r="E68"/>
      <c r="F68"/>
    </row>
    <row r="69" spans="1:6" x14ac:dyDescent="0.2">
      <c r="A69"/>
      <c r="C69"/>
      <c r="D69"/>
      <c r="E69"/>
      <c r="F69"/>
    </row>
    <row r="70" spans="1:6" x14ac:dyDescent="0.2">
      <c r="A70"/>
      <c r="C70"/>
      <c r="D70"/>
      <c r="E70"/>
      <c r="F70"/>
    </row>
    <row r="71" spans="1:6" x14ac:dyDescent="0.2">
      <c r="A71"/>
      <c r="C71"/>
      <c r="D71"/>
      <c r="E71"/>
      <c r="F71"/>
    </row>
    <row r="72" spans="1:6" x14ac:dyDescent="0.2">
      <c r="A72"/>
      <c r="C72"/>
      <c r="D72"/>
      <c r="E72"/>
      <c r="F72"/>
    </row>
    <row r="73" spans="1:6" x14ac:dyDescent="0.2">
      <c r="A73"/>
      <c r="C73"/>
      <c r="D73"/>
      <c r="E73"/>
      <c r="F73"/>
    </row>
    <row r="74" spans="1:6" x14ac:dyDescent="0.2">
      <c r="A74"/>
      <c r="C74"/>
      <c r="D74"/>
      <c r="E74"/>
      <c r="F74"/>
    </row>
    <row r="75" spans="1:6" x14ac:dyDescent="0.2">
      <c r="A75"/>
      <c r="C75"/>
      <c r="D75"/>
      <c r="E75"/>
      <c r="F75"/>
    </row>
    <row r="76" spans="1:6" x14ac:dyDescent="0.2">
      <c r="A76"/>
      <c r="C76"/>
      <c r="D76"/>
      <c r="E76"/>
      <c r="F76"/>
    </row>
    <row r="77" spans="1:6" x14ac:dyDescent="0.2">
      <c r="A77"/>
      <c r="C77"/>
      <c r="D77"/>
      <c r="E77"/>
      <c r="F77"/>
    </row>
    <row r="78" spans="1:6" x14ac:dyDescent="0.2">
      <c r="A78"/>
      <c r="C78"/>
      <c r="D78"/>
      <c r="E78"/>
      <c r="F78"/>
    </row>
    <row r="79" spans="1:6" x14ac:dyDescent="0.2">
      <c r="C79"/>
      <c r="D79"/>
      <c r="E79"/>
      <c r="F79"/>
    </row>
    <row r="80" spans="1:6" x14ac:dyDescent="0.2">
      <c r="C80"/>
      <c r="D80"/>
      <c r="E80"/>
      <c r="F80"/>
    </row>
    <row r="81" spans="3:6" x14ac:dyDescent="0.2">
      <c r="C81"/>
      <c r="D81"/>
      <c r="E81"/>
      <c r="F81"/>
    </row>
    <row r="82" spans="3:6" x14ac:dyDescent="0.2">
      <c r="C82"/>
      <c r="D82"/>
      <c r="E82"/>
      <c r="F82"/>
    </row>
    <row r="83" spans="3:6" x14ac:dyDescent="0.2">
      <c r="C83"/>
      <c r="D83"/>
      <c r="E83"/>
      <c r="F83"/>
    </row>
    <row r="84" spans="3:6" x14ac:dyDescent="0.2">
      <c r="C84"/>
      <c r="D84"/>
      <c r="E84"/>
      <c r="F84"/>
    </row>
  </sheetData>
  <pageMargins left="0.7" right="0.7" top="0.25" bottom="0.25" header="0.3" footer="0.3"/>
  <pageSetup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79998168889431442"/>
  </sheetPr>
  <dimension ref="A1:CF98"/>
  <sheetViews>
    <sheetView zoomScaleNormal="100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A9" sqref="A9:XFD10"/>
    </sheetView>
  </sheetViews>
  <sheetFormatPr defaultRowHeight="12.75" x14ac:dyDescent="0.2"/>
  <cols>
    <col min="1" max="1" width="9.7109375" style="28" customWidth="1"/>
    <col min="2" max="2" width="3.7109375" customWidth="1"/>
    <col min="3" max="6" width="13.7109375" style="3" customWidth="1"/>
    <col min="7" max="7" width="3.7109375" customWidth="1"/>
    <col min="8" max="11" width="13.7109375" style="5" customWidth="1"/>
    <col min="12" max="12" width="3.7109375" style="5" customWidth="1"/>
    <col min="13" max="16" width="12.7109375" style="5" customWidth="1"/>
    <col min="17" max="17" width="3.7109375" style="5" customWidth="1"/>
    <col min="18" max="21" width="12.7109375" style="5" customWidth="1"/>
    <col min="22" max="22" width="3.7109375" style="5" customWidth="1"/>
    <col min="23" max="26" width="13.7109375" style="5" customWidth="1"/>
    <col min="27" max="27" width="3.7109375" style="5" customWidth="1"/>
    <col min="28" max="31" width="13.7109375" style="5" customWidth="1"/>
    <col min="32" max="32" width="3.7109375" style="5" customWidth="1"/>
    <col min="33" max="36" width="13.7109375" style="5" customWidth="1"/>
    <col min="37" max="37" width="3.7109375" style="5" customWidth="1"/>
    <col min="38" max="41" width="13.7109375" style="5" customWidth="1"/>
    <col min="42" max="42" width="3.7109375" style="5" customWidth="1"/>
    <col min="43" max="44" width="12.7109375" style="5" customWidth="1"/>
    <col min="45" max="46" width="14.140625" style="5" customWidth="1"/>
    <col min="47" max="47" width="3.7109375" style="5" customWidth="1"/>
    <col min="48" max="49" width="12.7109375" style="5" customWidth="1"/>
    <col min="50" max="51" width="14.7109375" style="5" customWidth="1"/>
    <col min="52" max="52" width="3.7109375" style="5" customWidth="1"/>
    <col min="53" max="54" width="12.7109375" style="5" customWidth="1"/>
    <col min="55" max="56" width="13.7109375" style="5" customWidth="1"/>
    <col min="57" max="57" width="3.7109375" style="5" customWidth="1"/>
    <col min="58" max="61" width="13.7109375" style="5" customWidth="1"/>
    <col min="62" max="62" width="3.7109375" style="5" customWidth="1"/>
    <col min="63" max="66" width="13.7109375" style="5" customWidth="1"/>
    <col min="67" max="67" width="3.7109375" style="5" customWidth="1"/>
    <col min="68" max="71" width="13.7109375" style="5" customWidth="1"/>
    <col min="72" max="72" width="3.7109375" style="5" customWidth="1"/>
    <col min="73" max="76" width="13.7109375" style="5" customWidth="1"/>
    <col min="77" max="77" width="3.7109375" style="5" customWidth="1"/>
    <col min="78" max="81" width="13.7109375" style="5" customWidth="1"/>
    <col min="82" max="82" width="3.7109375" style="5" customWidth="1"/>
  </cols>
  <sheetData>
    <row r="1" spans="1:84" x14ac:dyDescent="0.2">
      <c r="A1" s="1"/>
      <c r="B1" s="2"/>
      <c r="D1" s="4"/>
      <c r="H1" s="4" t="s">
        <v>28</v>
      </c>
      <c r="W1" s="4" t="s">
        <v>28</v>
      </c>
      <c r="AL1" s="4" t="s">
        <v>28</v>
      </c>
      <c r="BA1" s="4" t="s">
        <v>28</v>
      </c>
      <c r="BP1" s="4" t="s">
        <v>28</v>
      </c>
      <c r="BU1" s="4"/>
      <c r="CF1" s="4"/>
    </row>
    <row r="2" spans="1:84" x14ac:dyDescent="0.2">
      <c r="A2" s="1"/>
      <c r="B2" s="2"/>
      <c r="D2" s="4"/>
      <c r="H2" s="4" t="s">
        <v>27</v>
      </c>
      <c r="W2" s="4" t="s">
        <v>27</v>
      </c>
      <c r="AL2" s="4" t="s">
        <v>27</v>
      </c>
      <c r="BA2" s="4" t="s">
        <v>27</v>
      </c>
      <c r="BP2" s="4" t="s">
        <v>27</v>
      </c>
      <c r="BU2" s="4"/>
      <c r="CF2" s="4"/>
    </row>
    <row r="3" spans="1:84" x14ac:dyDescent="0.2">
      <c r="A3" s="1"/>
      <c r="B3" s="2"/>
      <c r="D3" s="7"/>
      <c r="H3" s="61" t="s">
        <v>97</v>
      </c>
      <c r="W3" s="61" t="s">
        <v>97</v>
      </c>
      <c r="AL3" s="61" t="s">
        <v>97</v>
      </c>
      <c r="BA3" s="61" t="s">
        <v>97</v>
      </c>
      <c r="BP3" s="61" t="s">
        <v>97</v>
      </c>
      <c r="BU3" s="61"/>
      <c r="CF3" s="61"/>
    </row>
    <row r="4" spans="1:84" x14ac:dyDescent="0.2">
      <c r="A4" s="1"/>
      <c r="B4" s="2"/>
      <c r="C4" s="7"/>
      <c r="D4" s="4"/>
    </row>
    <row r="5" spans="1:84" x14ac:dyDescent="0.2">
      <c r="A5" s="9" t="s">
        <v>0</v>
      </c>
      <c r="C5" s="62" t="s">
        <v>102</v>
      </c>
      <c r="D5" s="10"/>
      <c r="E5" s="11"/>
      <c r="F5" s="234"/>
      <c r="H5" s="206" t="s">
        <v>104</v>
      </c>
      <c r="I5" s="207"/>
      <c r="J5" s="208"/>
      <c r="K5" s="236"/>
      <c r="M5" s="57" t="s">
        <v>32</v>
      </c>
      <c r="N5" s="220"/>
      <c r="O5" s="32"/>
      <c r="P5" s="3"/>
      <c r="Q5" s="3"/>
      <c r="R5" s="221" t="s">
        <v>129</v>
      </c>
      <c r="S5" s="13"/>
      <c r="T5" s="32"/>
      <c r="U5" s="3"/>
      <c r="W5" s="222" t="s">
        <v>6</v>
      </c>
      <c r="X5" s="13"/>
      <c r="Y5" s="32"/>
      <c r="Z5" s="3"/>
      <c r="AB5" s="222" t="s">
        <v>87</v>
      </c>
      <c r="AC5" s="13"/>
      <c r="AD5" s="32"/>
      <c r="AE5" s="3"/>
      <c r="AG5" s="221" t="s">
        <v>95</v>
      </c>
      <c r="AH5" s="13"/>
      <c r="AI5" s="32"/>
      <c r="AJ5" s="3"/>
      <c r="AL5" s="223" t="s">
        <v>7</v>
      </c>
      <c r="AM5" s="13"/>
      <c r="AN5" s="32"/>
      <c r="AO5" s="3"/>
      <c r="AQ5" s="12" t="s">
        <v>90</v>
      </c>
      <c r="AR5" s="13"/>
      <c r="AS5" s="14"/>
      <c r="AT5" s="3"/>
      <c r="AV5" s="33" t="s">
        <v>71</v>
      </c>
      <c r="AW5" s="13"/>
      <c r="AX5" s="14"/>
      <c r="AY5" s="3"/>
      <c r="BA5" s="12" t="s">
        <v>72</v>
      </c>
      <c r="BB5" s="13"/>
      <c r="BC5" s="14"/>
      <c r="BD5" s="3"/>
      <c r="BF5" s="12" t="s">
        <v>73</v>
      </c>
      <c r="BG5" s="195"/>
      <c r="BH5" s="14"/>
      <c r="BI5" s="3"/>
      <c r="BK5" s="12" t="s">
        <v>74</v>
      </c>
      <c r="BL5" s="195"/>
      <c r="BM5" s="14"/>
      <c r="BN5" s="3"/>
      <c r="BP5" s="12" t="s">
        <v>75</v>
      </c>
      <c r="BQ5" s="195"/>
      <c r="BR5" s="14"/>
      <c r="BS5" s="3"/>
      <c r="BU5" s="12" t="s">
        <v>76</v>
      </c>
      <c r="BV5" s="195"/>
      <c r="BW5" s="14"/>
      <c r="BX5" s="3"/>
      <c r="BZ5" s="17" t="s">
        <v>55</v>
      </c>
      <c r="CA5" s="15"/>
      <c r="CB5" s="16"/>
      <c r="CC5" s="3"/>
    </row>
    <row r="6" spans="1:84" x14ac:dyDescent="0.2">
      <c r="A6" s="18" t="s">
        <v>1</v>
      </c>
      <c r="B6" s="8"/>
      <c r="C6" s="66" t="s">
        <v>103</v>
      </c>
      <c r="D6" s="67"/>
      <c r="E6" s="68"/>
      <c r="F6" s="25" t="s">
        <v>211</v>
      </c>
      <c r="H6" s="19">
        <f>M6+R6+W6+AB6+AG6+AL6+AQ6+AV6+BA6+BF6+BK6+BP6+BU6+BZ6</f>
        <v>1.0000001781250001</v>
      </c>
      <c r="I6" s="19">
        <f>N6+S6+X6+AC6+AH6+AM6+AR6+AW6+BB6+BG6+BL6+BQ6+BV6+CA6</f>
        <v>1.0000002274999999</v>
      </c>
      <c r="J6" s="19">
        <f>O6+T6+Y6+AD6+AI6+AN6+AS6+AX6+BC6+BH6+BM6+BR6+BW6+CB6</f>
        <v>1.0000002274999999</v>
      </c>
      <c r="K6" s="25" t="s">
        <v>211</v>
      </c>
      <c r="M6" s="34">
        <v>0.25134529999999999</v>
      </c>
      <c r="N6" s="8">
        <v>0.25134529999999999</v>
      </c>
      <c r="O6" s="8">
        <v>0.25134529999999999</v>
      </c>
      <c r="P6" s="25" t="s">
        <v>211</v>
      </c>
      <c r="Q6" s="55"/>
      <c r="R6" s="171">
        <v>5.1365999999999998E-3</v>
      </c>
      <c r="S6" s="8">
        <v>5.1365999999999998E-3</v>
      </c>
      <c r="T6" s="8">
        <v>5.1365999999999998E-3</v>
      </c>
      <c r="U6" s="25" t="s">
        <v>211</v>
      </c>
      <c r="W6" s="171">
        <v>7.1809450624999993E-2</v>
      </c>
      <c r="X6" s="8">
        <v>7.7411716250000026E-2</v>
      </c>
      <c r="Y6" s="8">
        <v>7.7411716250000026E-2</v>
      </c>
      <c r="Z6" s="25" t="s">
        <v>211</v>
      </c>
      <c r="AB6" s="171">
        <v>1.5355199999999999E-2</v>
      </c>
      <c r="AC6" s="8">
        <v>2.4241700000000001E-2</v>
      </c>
      <c r="AD6" s="8">
        <v>2.4241700000000001E-2</v>
      </c>
      <c r="AE6" s="25" t="s">
        <v>211</v>
      </c>
      <c r="AG6" s="171">
        <v>3.3875099999999998E-2</v>
      </c>
      <c r="AH6" s="8">
        <v>7.2295200000000004E-2</v>
      </c>
      <c r="AI6" s="8">
        <v>7.2295200000000004E-2</v>
      </c>
      <c r="AJ6" s="25" t="s">
        <v>211</v>
      </c>
      <c r="AL6" s="171">
        <v>4.4270000000000004E-3</v>
      </c>
      <c r="AM6" s="8">
        <v>7.1412000000000003E-3</v>
      </c>
      <c r="AN6" s="8">
        <v>7.1412000000000003E-3</v>
      </c>
      <c r="AO6" s="25" t="s">
        <v>211</v>
      </c>
      <c r="AQ6" s="34">
        <v>1.2173399999999999E-2</v>
      </c>
      <c r="AR6" s="20">
        <v>2.0635400000000002E-2</v>
      </c>
      <c r="AS6" s="84">
        <v>2.0635400000000002E-2</v>
      </c>
      <c r="AT6" s="25" t="s">
        <v>211</v>
      </c>
      <c r="AV6" s="34">
        <v>2.7970499999999999E-2</v>
      </c>
      <c r="AW6" s="20">
        <v>2.7970499999999999E-2</v>
      </c>
      <c r="AX6" s="84">
        <v>2.7970499999999999E-2</v>
      </c>
      <c r="AY6" s="25" t="s">
        <v>211</v>
      </c>
      <c r="BA6" s="34">
        <v>3.8523700000000001E-2</v>
      </c>
      <c r="BB6" s="20">
        <v>4.7311800000000001E-2</v>
      </c>
      <c r="BC6" s="84">
        <v>4.7311800000000001E-2</v>
      </c>
      <c r="BD6" s="25" t="s">
        <v>211</v>
      </c>
      <c r="BF6" s="34">
        <v>1.7118600000000001E-2</v>
      </c>
      <c r="BG6" s="20">
        <v>1.8897500000000001E-2</v>
      </c>
      <c r="BH6" s="84">
        <v>1.8897500000000001E-2</v>
      </c>
      <c r="BI6" s="25" t="s">
        <v>211</v>
      </c>
      <c r="BK6" s="34">
        <v>2.97884E-2</v>
      </c>
      <c r="BL6" s="20">
        <v>7.4477100000000004E-2</v>
      </c>
      <c r="BM6" s="84">
        <v>7.4477100000000004E-2</v>
      </c>
      <c r="BN6" s="25" t="s">
        <v>211</v>
      </c>
      <c r="BP6" s="34">
        <v>0.1437727</v>
      </c>
      <c r="BQ6" s="20">
        <v>0.16656789999999999</v>
      </c>
      <c r="BR6" s="84">
        <v>0.16656789999999999</v>
      </c>
      <c r="BS6" s="25" t="s">
        <v>211</v>
      </c>
      <c r="BU6" s="34">
        <v>1.39933E-2</v>
      </c>
      <c r="BV6" s="20">
        <v>1.8255799999999999E-2</v>
      </c>
      <c r="BW6" s="84">
        <v>1.8255799999999999E-2</v>
      </c>
      <c r="BX6" s="25" t="s">
        <v>211</v>
      </c>
      <c r="BZ6" s="34">
        <v>0.33471092749999998</v>
      </c>
      <c r="CA6" s="8">
        <v>0.18831251125000001</v>
      </c>
      <c r="CB6" s="21">
        <v>0.18831251124999998</v>
      </c>
      <c r="CC6" s="25" t="s">
        <v>211</v>
      </c>
    </row>
    <row r="7" spans="1:84" x14ac:dyDescent="0.2">
      <c r="A7" s="18"/>
      <c r="B7" s="8"/>
      <c r="C7" s="33"/>
      <c r="D7" s="13"/>
      <c r="E7" s="32"/>
      <c r="F7" s="25" t="s">
        <v>212</v>
      </c>
      <c r="H7" s="19">
        <f>M7+R7+W7+AB7+AG7+AL7+AQ7+AV7+BA7+BF7+BK7+BP7+BU7+BZ7</f>
        <v>1.000000010625</v>
      </c>
      <c r="I7" s="20"/>
      <c r="J7" s="84"/>
      <c r="K7" s="25" t="s">
        <v>212</v>
      </c>
      <c r="M7" s="34">
        <v>0.25134526125000001</v>
      </c>
      <c r="N7" s="252">
        <v>0.38954656187499997</v>
      </c>
      <c r="O7" s="21"/>
      <c r="P7" s="25" t="s">
        <v>212</v>
      </c>
      <c r="Q7" s="55"/>
      <c r="R7" s="34">
        <v>5.1365743750000003E-3</v>
      </c>
      <c r="S7" s="252">
        <v>5.1365743749999995E-3</v>
      </c>
      <c r="T7" s="21"/>
      <c r="U7" s="25" t="s">
        <v>212</v>
      </c>
      <c r="W7" s="34">
        <v>7.7411716249999998E-2</v>
      </c>
      <c r="X7" s="252">
        <v>8.7371373124999971E-2</v>
      </c>
      <c r="Y7" s="21"/>
      <c r="Z7" s="25" t="s">
        <v>212</v>
      </c>
      <c r="AB7" s="34">
        <v>2.4241700000000001E-2</v>
      </c>
      <c r="AC7" s="252">
        <v>4.9657927499999997E-2</v>
      </c>
      <c r="AD7" s="21"/>
      <c r="AE7" s="25" t="s">
        <v>212</v>
      </c>
      <c r="AG7" s="34">
        <v>7.2295200000000004E-2</v>
      </c>
      <c r="AH7" s="252">
        <v>7.2295156874999988E-2</v>
      </c>
      <c r="AI7" s="21"/>
      <c r="AJ7" s="25" t="s">
        <v>212</v>
      </c>
      <c r="AL7" s="34">
        <v>7.1411756250000001E-3</v>
      </c>
      <c r="AM7" s="252">
        <v>8.424995624999999E-3</v>
      </c>
      <c r="AN7" s="21"/>
      <c r="AO7" s="25" t="s">
        <v>212</v>
      </c>
      <c r="AQ7" s="34">
        <v>2.0635388749999997E-2</v>
      </c>
      <c r="AR7" s="251">
        <v>2.0635388749999997E-2</v>
      </c>
      <c r="AS7" s="21"/>
      <c r="AT7" s="25" t="s">
        <v>212</v>
      </c>
      <c r="AV7" s="34">
        <v>2.7970458749999996E-2</v>
      </c>
      <c r="AW7" s="251">
        <v>3.1147021249999997E-2</v>
      </c>
      <c r="AX7" s="21"/>
      <c r="AY7" s="25" t="s">
        <v>212</v>
      </c>
      <c r="BA7" s="34">
        <v>4.7311765625000002E-2</v>
      </c>
      <c r="BB7" s="251">
        <v>4.7311765624999995E-2</v>
      </c>
      <c r="BC7" s="21"/>
      <c r="BD7" s="25" t="s">
        <v>212</v>
      </c>
      <c r="BF7" s="34">
        <v>1.8897463749999999E-2</v>
      </c>
      <c r="BG7" s="252">
        <v>2.0370276249999996E-2</v>
      </c>
      <c r="BH7" s="21"/>
      <c r="BI7" s="25" t="s">
        <v>212</v>
      </c>
      <c r="BK7" s="34">
        <v>7.4477071250000013E-2</v>
      </c>
      <c r="BL7" s="252">
        <v>7.4830946250000002E-2</v>
      </c>
      <c r="BM7" s="21"/>
      <c r="BN7" s="25" t="s">
        <v>212</v>
      </c>
      <c r="BP7" s="34">
        <v>0.16656788375000003</v>
      </c>
      <c r="BQ7" s="252">
        <v>0.16894701312500002</v>
      </c>
      <c r="BR7" s="21"/>
      <c r="BS7" s="25" t="s">
        <v>212</v>
      </c>
      <c r="BU7" s="34">
        <v>1.8255839999999995E-2</v>
      </c>
      <c r="BV7" s="252">
        <v>2.4324999374999996E-2</v>
      </c>
      <c r="BW7" s="21"/>
      <c r="BX7" s="25" t="s">
        <v>212</v>
      </c>
      <c r="BZ7" s="34">
        <v>0.18831251124999998</v>
      </c>
      <c r="CA7" s="20"/>
      <c r="CB7" s="21"/>
      <c r="CC7" s="25" t="s">
        <v>212</v>
      </c>
    </row>
    <row r="8" spans="1:84" x14ac:dyDescent="0.2">
      <c r="A8" s="24"/>
      <c r="C8" s="25" t="s">
        <v>2</v>
      </c>
      <c r="D8" s="25" t="s">
        <v>3</v>
      </c>
      <c r="E8" s="25" t="s">
        <v>4</v>
      </c>
      <c r="F8" s="25" t="s">
        <v>4</v>
      </c>
      <c r="H8" s="25" t="s">
        <v>2</v>
      </c>
      <c r="I8" s="25" t="s">
        <v>3</v>
      </c>
      <c r="J8" s="25" t="s">
        <v>4</v>
      </c>
      <c r="K8" s="25" t="s">
        <v>4</v>
      </c>
      <c r="M8" s="25" t="s">
        <v>2</v>
      </c>
      <c r="N8" s="25" t="s">
        <v>3</v>
      </c>
      <c r="O8" s="25" t="s">
        <v>4</v>
      </c>
      <c r="P8" s="25" t="s">
        <v>4</v>
      </c>
      <c r="Q8" s="60"/>
      <c r="R8" s="25" t="s">
        <v>2</v>
      </c>
      <c r="S8" s="25" t="s">
        <v>3</v>
      </c>
      <c r="T8" s="25" t="s">
        <v>4</v>
      </c>
      <c r="U8" s="25" t="s">
        <v>4</v>
      </c>
      <c r="W8" s="25" t="s">
        <v>2</v>
      </c>
      <c r="X8" s="25" t="s">
        <v>3</v>
      </c>
      <c r="Y8" s="25" t="s">
        <v>4</v>
      </c>
      <c r="Z8" s="25" t="s">
        <v>4</v>
      </c>
      <c r="AB8" s="25" t="s">
        <v>2</v>
      </c>
      <c r="AC8" s="25" t="s">
        <v>3</v>
      </c>
      <c r="AD8" s="25" t="s">
        <v>4</v>
      </c>
      <c r="AE8" s="25" t="s">
        <v>4</v>
      </c>
      <c r="AG8" s="25" t="s">
        <v>2</v>
      </c>
      <c r="AH8" s="25" t="s">
        <v>3</v>
      </c>
      <c r="AI8" s="25" t="s">
        <v>4</v>
      </c>
      <c r="AJ8" s="25" t="s">
        <v>4</v>
      </c>
      <c r="AL8" s="25" t="s">
        <v>2</v>
      </c>
      <c r="AM8" s="25" t="s">
        <v>3</v>
      </c>
      <c r="AN8" s="25" t="s">
        <v>4</v>
      </c>
      <c r="AO8" s="25" t="s">
        <v>4</v>
      </c>
      <c r="AQ8" s="25" t="s">
        <v>2</v>
      </c>
      <c r="AR8" s="25" t="s">
        <v>3</v>
      </c>
      <c r="AS8" s="25" t="s">
        <v>4</v>
      </c>
      <c r="AT8" s="25" t="s">
        <v>4</v>
      </c>
      <c r="AV8" s="25" t="s">
        <v>2</v>
      </c>
      <c r="AW8" s="25" t="s">
        <v>3</v>
      </c>
      <c r="AX8" s="25" t="s">
        <v>4</v>
      </c>
      <c r="AY8" s="25" t="s">
        <v>4</v>
      </c>
      <c r="BA8" s="25" t="s">
        <v>2</v>
      </c>
      <c r="BB8" s="25" t="s">
        <v>3</v>
      </c>
      <c r="BC8" s="25" t="s">
        <v>4</v>
      </c>
      <c r="BD8" s="25" t="s">
        <v>4</v>
      </c>
      <c r="BF8" s="25" t="s">
        <v>2</v>
      </c>
      <c r="BG8" s="25" t="s">
        <v>3</v>
      </c>
      <c r="BH8" s="25" t="s">
        <v>4</v>
      </c>
      <c r="BI8" s="25" t="s">
        <v>4</v>
      </c>
      <c r="BK8" s="25" t="s">
        <v>2</v>
      </c>
      <c r="BL8" s="25" t="s">
        <v>3</v>
      </c>
      <c r="BM8" s="25" t="s">
        <v>4</v>
      </c>
      <c r="BN8" s="25" t="s">
        <v>4</v>
      </c>
      <c r="BP8" s="25" t="s">
        <v>2</v>
      </c>
      <c r="BQ8" s="25" t="s">
        <v>3</v>
      </c>
      <c r="BR8" s="25" t="s">
        <v>4</v>
      </c>
      <c r="BS8" s="25" t="s">
        <v>4</v>
      </c>
      <c r="BU8" s="25" t="s">
        <v>2</v>
      </c>
      <c r="BV8" s="25" t="s">
        <v>3</v>
      </c>
      <c r="BW8" s="25" t="s">
        <v>4</v>
      </c>
      <c r="BX8" s="25" t="s">
        <v>4</v>
      </c>
      <c r="BZ8" s="25" t="s">
        <v>2</v>
      </c>
      <c r="CA8" s="25" t="s">
        <v>3</v>
      </c>
      <c r="CB8" s="25" t="s">
        <v>4</v>
      </c>
      <c r="CC8" s="25" t="s">
        <v>4</v>
      </c>
    </row>
    <row r="9" spans="1:84" x14ac:dyDescent="0.2">
      <c r="A9" s="28">
        <v>45566</v>
      </c>
      <c r="D9" s="3">
        <v>238625</v>
      </c>
      <c r="E9" s="3">
        <f t="shared" ref="E9:E22" si="0">C9+D9</f>
        <v>238625</v>
      </c>
      <c r="F9" s="3">
        <v>166259</v>
      </c>
      <c r="I9" s="5">
        <f t="shared" ref="I9:I22" si="1">N9+S9+X9+AC9+AH9+AM9+AR9+AW9+BB9+BG9+BL9+BQ9+BV9+CA9</f>
        <v>238624.99999999997</v>
      </c>
      <c r="J9" s="5">
        <f t="shared" ref="J9:J22" si="2">H9+I9</f>
        <v>238624.99999999997</v>
      </c>
      <c r="K9" s="5">
        <f t="shared" ref="K9:K22" si="3">P9+U9+Z9+AE9+AJ9+AO9+AT9+AY9+BD9+BI9+BN9+BS9+BX9+CC9</f>
        <v>166258.99999999994</v>
      </c>
      <c r="M9" s="250">
        <f t="shared" ref="M9:M22" si="4">$C9*N$7</f>
        <v>0</v>
      </c>
      <c r="N9" s="250">
        <f t="shared" ref="N9:N22" si="5">$D9*N$7</f>
        <v>92955.548327421871</v>
      </c>
      <c r="O9" s="250">
        <f t="shared" ref="O9:O22" si="6">M9+N9</f>
        <v>92955.548327421871</v>
      </c>
      <c r="P9" s="250">
        <f t="shared" ref="P9:P22" si="7">N$7*$F9</f>
        <v>64765.621830775621</v>
      </c>
      <c r="R9" s="250">
        <f t="shared" ref="R9:R22" si="8">$C9*S$7</f>
        <v>0</v>
      </c>
      <c r="S9" s="250">
        <f t="shared" ref="S9:S22" si="9">$D9*S$7</f>
        <v>1225.715060234375</v>
      </c>
      <c r="T9" s="250">
        <f t="shared" ref="T9:T22" si="10">R9+S9</f>
        <v>1225.715060234375</v>
      </c>
      <c r="U9" s="250">
        <f t="shared" ref="U9:U22" si="11">S$7*$F9</f>
        <v>854.0017190131249</v>
      </c>
      <c r="W9" s="250">
        <f t="shared" ref="W9:W22" si="12">$C9*X$7</f>
        <v>0</v>
      </c>
      <c r="X9" s="250">
        <f t="shared" ref="X9:X22" si="13">$D9*X$7</f>
        <v>20848.993911953119</v>
      </c>
      <c r="Y9" s="250">
        <f t="shared" ref="Y9:Y22" si="14">W9+X9</f>
        <v>20848.993911953119</v>
      </c>
      <c r="Z9" s="250">
        <f t="shared" ref="Z9:Z22" si="15">X$7*$F9</f>
        <v>14526.277124389369</v>
      </c>
      <c r="AB9" s="250">
        <f t="shared" ref="AB9:AB22" si="16">$C9*AC$7</f>
        <v>0</v>
      </c>
      <c r="AC9" s="250">
        <f t="shared" ref="AC9:AC22" si="17">$D9*AC$7</f>
        <v>11849.622949687498</v>
      </c>
      <c r="AD9" s="250">
        <f t="shared" ref="AD9:AD22" si="18">AB9+AC9</f>
        <v>11849.622949687498</v>
      </c>
      <c r="AE9" s="250">
        <f t="shared" ref="AE9:AE22" si="19">AC$7*$F9</f>
        <v>8256.077368222499</v>
      </c>
      <c r="AG9" s="250">
        <f t="shared" ref="AG9:AG22" si="20">$C9*AH$7</f>
        <v>0</v>
      </c>
      <c r="AH9" s="250">
        <f t="shared" ref="AH9:AH22" si="21">$D9*AH$7</f>
        <v>17251.431809296872</v>
      </c>
      <c r="AI9" s="250">
        <f t="shared" ref="AI9:AI22" si="22">AG9+AH9</f>
        <v>17251.431809296872</v>
      </c>
      <c r="AJ9" s="250">
        <f t="shared" ref="AJ9:AJ22" si="23">AH$7*$F9</f>
        <v>12019.720486880624</v>
      </c>
      <c r="AL9" s="250">
        <f t="shared" ref="AL9:AL22" si="24">$C9*AM$7</f>
        <v>0</v>
      </c>
      <c r="AM9" s="250">
        <f t="shared" ref="AM9:AM22" si="25">$D9*AM$7</f>
        <v>2010.4145810156247</v>
      </c>
      <c r="AN9" s="250">
        <f t="shared" ref="AN9:AN22" si="26">AL9+AM9</f>
        <v>2010.4145810156247</v>
      </c>
      <c r="AO9" s="250">
        <f t="shared" ref="AO9:AO22" si="27">AM$7*$F9</f>
        <v>1400.7313476168749</v>
      </c>
      <c r="AQ9" s="250">
        <f t="shared" ref="AQ9:AQ22" si="28">$C9*AR$7</f>
        <v>0</v>
      </c>
      <c r="AR9" s="250">
        <f t="shared" ref="AR9:AR22" si="29">$D9*AR$7</f>
        <v>4924.1196404687489</v>
      </c>
      <c r="AS9" s="250">
        <f t="shared" ref="AS9:AS22" si="30">AQ9+AR9</f>
        <v>4924.1196404687489</v>
      </c>
      <c r="AT9" s="250">
        <f t="shared" ref="AT9:AT22" si="31">AR$7*$F9</f>
        <v>3430.8190981862494</v>
      </c>
      <c r="AV9" s="250">
        <f t="shared" ref="AV9:AV22" si="32">$C9*AW$7</f>
        <v>0</v>
      </c>
      <c r="AW9" s="250">
        <f t="shared" ref="AW9:AW22" si="33">$D9*AW$7</f>
        <v>7432.4579457812497</v>
      </c>
      <c r="AX9" s="250">
        <f t="shared" ref="AX9:AX22" si="34">AV9+AW9</f>
        <v>7432.4579457812497</v>
      </c>
      <c r="AY9" s="250">
        <f t="shared" ref="AY9:AY22" si="35">AW$7*$F9</f>
        <v>5178.4726060037492</v>
      </c>
      <c r="BA9" s="250">
        <f t="shared" ref="BA9:BA22" si="36">$C9*BB$7</f>
        <v>0</v>
      </c>
      <c r="BB9" s="250">
        <f t="shared" ref="BB9:BB22" si="37">$D9*BB$7</f>
        <v>11289.770072265625</v>
      </c>
      <c r="BC9" s="250">
        <f t="shared" ref="BC9:BC22" si="38">BA9+BB9</f>
        <v>11289.770072265625</v>
      </c>
      <c r="BD9" s="250">
        <f t="shared" ref="BD9:BD22" si="39">BB$7*$F9</f>
        <v>7866.0068410468739</v>
      </c>
      <c r="BF9" s="250">
        <f t="shared" ref="BF9:BF22" si="40">$C9*BG$7</f>
        <v>0</v>
      </c>
      <c r="BG9" s="250">
        <f t="shared" ref="BG9:BG22" si="41">$D9*BG$7</f>
        <v>4860.8571701562487</v>
      </c>
      <c r="BH9" s="250">
        <f t="shared" ref="BH9:BH22" si="42">BF9+BG9</f>
        <v>4860.8571701562487</v>
      </c>
      <c r="BI9" s="250">
        <f t="shared" ref="BI9:BI22" si="43">BG$7*$F9</f>
        <v>3386.7417590487494</v>
      </c>
      <c r="BK9" s="250">
        <f t="shared" ref="BK9:BK22" si="44">$C9*BL$7</f>
        <v>0</v>
      </c>
      <c r="BL9" s="250">
        <f t="shared" ref="BL9:BL22" si="45">$D9*BL$7</f>
        <v>17856.534548906249</v>
      </c>
      <c r="BM9" s="250">
        <f t="shared" ref="BM9:BM22" si="46">BK9+BL9</f>
        <v>17856.534548906249</v>
      </c>
      <c r="BN9" s="250">
        <f t="shared" ref="BN9:BN22" si="47">BL$7*$F9</f>
        <v>12441.31829257875</v>
      </c>
      <c r="BP9" s="250">
        <f t="shared" ref="BP9:BP22" si="48">$C9*BQ$7</f>
        <v>0</v>
      </c>
      <c r="BQ9" s="250">
        <f t="shared" ref="BQ9:BQ22" si="49">$D9*BQ$7</f>
        <v>40314.98100695313</v>
      </c>
      <c r="BR9" s="250">
        <f t="shared" ref="BR9:BR22" si="50">BP9+BQ9</f>
        <v>40314.98100695313</v>
      </c>
      <c r="BS9" s="250">
        <f t="shared" ref="BS9:BS22" si="51">BQ$7*$F9</f>
        <v>28088.96145514938</v>
      </c>
      <c r="BU9" s="250">
        <f t="shared" ref="BU9:BU22" si="52">$C9*BV$7</f>
        <v>0</v>
      </c>
      <c r="BV9" s="250">
        <f t="shared" ref="BV9:BV22" si="53">$D9*BV$7</f>
        <v>5804.5529758593739</v>
      </c>
      <c r="BW9" s="250">
        <f t="shared" ref="BW9:BW22" si="54">BU9+BV9</f>
        <v>5804.5529758593739</v>
      </c>
      <c r="BX9" s="250">
        <f t="shared" ref="BX9:BX22" si="55">BV$7*$F9</f>
        <v>4044.2500710881245</v>
      </c>
      <c r="BZ9" s="250">
        <f t="shared" ref="BZ9:BZ22" si="56">$C9*CA$7</f>
        <v>0</v>
      </c>
      <c r="CA9" s="250">
        <f t="shared" ref="CA9:CA22" si="57">$D9*CA$7</f>
        <v>0</v>
      </c>
      <c r="CB9" s="250">
        <f t="shared" ref="CB9:CB22" si="58">BZ9+CA9</f>
        <v>0</v>
      </c>
      <c r="CC9" s="250">
        <f t="shared" ref="CC9:CC22" si="59">CA$7*$F9</f>
        <v>0</v>
      </c>
    </row>
    <row r="10" spans="1:84" x14ac:dyDescent="0.2">
      <c r="A10" s="28">
        <v>45748</v>
      </c>
      <c r="C10" s="3">
        <v>1175000</v>
      </c>
      <c r="D10" s="3">
        <v>238625</v>
      </c>
      <c r="E10" s="3">
        <f t="shared" si="0"/>
        <v>1413625</v>
      </c>
      <c r="F10" s="3">
        <v>166259</v>
      </c>
      <c r="H10" s="5">
        <f t="shared" ref="H10:H22" si="60">M10+R10+W10+AB10+AG10+AL10+AQ10+AV10+BA10+BF10+BK10+BP10+BU10+BZ10</f>
        <v>1174999.9999999998</v>
      </c>
      <c r="I10" s="5">
        <f t="shared" si="1"/>
        <v>238624.99999999997</v>
      </c>
      <c r="J10" s="5">
        <f t="shared" si="2"/>
        <v>1413624.9999999998</v>
      </c>
      <c r="K10" s="5">
        <f t="shared" si="3"/>
        <v>166258.99999999994</v>
      </c>
      <c r="M10" s="250">
        <f t="shared" si="4"/>
        <v>457717.21020312497</v>
      </c>
      <c r="N10" s="250">
        <f t="shared" si="5"/>
        <v>92955.548327421871</v>
      </c>
      <c r="O10" s="250">
        <f t="shared" si="6"/>
        <v>550672.75853054679</v>
      </c>
      <c r="P10" s="250">
        <f t="shared" si="7"/>
        <v>64765.621830775621</v>
      </c>
      <c r="R10" s="250">
        <f t="shared" si="8"/>
        <v>6035.4748906249997</v>
      </c>
      <c r="S10" s="250">
        <f t="shared" si="9"/>
        <v>1225.715060234375</v>
      </c>
      <c r="T10" s="250">
        <f t="shared" si="10"/>
        <v>7261.1899508593742</v>
      </c>
      <c r="U10" s="250">
        <f t="shared" si="11"/>
        <v>854.0017190131249</v>
      </c>
      <c r="W10" s="250">
        <f t="shared" si="12"/>
        <v>102661.36342187496</v>
      </c>
      <c r="X10" s="250">
        <f t="shared" si="13"/>
        <v>20848.993911953119</v>
      </c>
      <c r="Y10" s="250">
        <f t="shared" si="14"/>
        <v>123510.35733382808</v>
      </c>
      <c r="Z10" s="250">
        <f t="shared" si="15"/>
        <v>14526.277124389369</v>
      </c>
      <c r="AB10" s="250">
        <f t="shared" si="16"/>
        <v>58348.064812499993</v>
      </c>
      <c r="AC10" s="250">
        <f t="shared" si="17"/>
        <v>11849.622949687498</v>
      </c>
      <c r="AD10" s="250">
        <f t="shared" si="18"/>
        <v>70197.687762187488</v>
      </c>
      <c r="AE10" s="250">
        <f t="shared" si="19"/>
        <v>8256.077368222499</v>
      </c>
      <c r="AG10" s="250">
        <f t="shared" si="20"/>
        <v>84946.809328124989</v>
      </c>
      <c r="AH10" s="250">
        <f t="shared" si="21"/>
        <v>17251.431809296872</v>
      </c>
      <c r="AI10" s="250">
        <f t="shared" si="22"/>
        <v>102198.24113742186</v>
      </c>
      <c r="AJ10" s="250">
        <f t="shared" si="23"/>
        <v>12019.720486880624</v>
      </c>
      <c r="AL10" s="250">
        <f t="shared" si="24"/>
        <v>9899.3698593749996</v>
      </c>
      <c r="AM10" s="250">
        <f t="shared" si="25"/>
        <v>2010.4145810156247</v>
      </c>
      <c r="AN10" s="250">
        <f t="shared" si="26"/>
        <v>11909.784440390624</v>
      </c>
      <c r="AO10" s="250">
        <f t="shared" si="27"/>
        <v>1400.7313476168749</v>
      </c>
      <c r="AQ10" s="250">
        <f t="shared" si="28"/>
        <v>24246.581781249995</v>
      </c>
      <c r="AR10" s="250">
        <f t="shared" si="29"/>
        <v>4924.1196404687489</v>
      </c>
      <c r="AS10" s="250">
        <f t="shared" si="30"/>
        <v>29170.701421718746</v>
      </c>
      <c r="AT10" s="250">
        <f t="shared" si="31"/>
        <v>3430.8190981862494</v>
      </c>
      <c r="AV10" s="250">
        <f t="shared" si="32"/>
        <v>36597.749968749995</v>
      </c>
      <c r="AW10" s="250">
        <f t="shared" si="33"/>
        <v>7432.4579457812497</v>
      </c>
      <c r="AX10" s="250">
        <f t="shared" si="34"/>
        <v>44030.207914531245</v>
      </c>
      <c r="AY10" s="250">
        <f t="shared" si="35"/>
        <v>5178.4726060037492</v>
      </c>
      <c r="BA10" s="250">
        <f t="shared" si="36"/>
        <v>55591.324609374991</v>
      </c>
      <c r="BB10" s="250">
        <f t="shared" si="37"/>
        <v>11289.770072265625</v>
      </c>
      <c r="BC10" s="250">
        <f t="shared" si="38"/>
        <v>66881.094681640621</v>
      </c>
      <c r="BD10" s="250">
        <f t="shared" si="39"/>
        <v>7866.0068410468739</v>
      </c>
      <c r="BF10" s="250">
        <f t="shared" si="40"/>
        <v>23935.074593749996</v>
      </c>
      <c r="BG10" s="250">
        <f t="shared" si="41"/>
        <v>4860.8571701562487</v>
      </c>
      <c r="BH10" s="250">
        <f t="shared" si="42"/>
        <v>28795.931763906243</v>
      </c>
      <c r="BI10" s="250">
        <f t="shared" si="43"/>
        <v>3386.7417590487494</v>
      </c>
      <c r="BK10" s="250">
        <f t="shared" si="44"/>
        <v>87926.361843749997</v>
      </c>
      <c r="BL10" s="250">
        <f t="shared" si="45"/>
        <v>17856.534548906249</v>
      </c>
      <c r="BM10" s="250">
        <f t="shared" si="46"/>
        <v>105782.89639265624</v>
      </c>
      <c r="BN10" s="250">
        <f t="shared" si="47"/>
        <v>12441.31829257875</v>
      </c>
      <c r="BP10" s="250">
        <f t="shared" si="48"/>
        <v>198512.74042187503</v>
      </c>
      <c r="BQ10" s="250">
        <f t="shared" si="49"/>
        <v>40314.98100695313</v>
      </c>
      <c r="BR10" s="250">
        <f t="shared" si="50"/>
        <v>238827.72142882817</v>
      </c>
      <c r="BS10" s="250">
        <f t="shared" si="51"/>
        <v>28088.96145514938</v>
      </c>
      <c r="BU10" s="250">
        <f t="shared" si="52"/>
        <v>28581.874265624996</v>
      </c>
      <c r="BV10" s="250">
        <f t="shared" si="53"/>
        <v>5804.5529758593739</v>
      </c>
      <c r="BW10" s="250">
        <f t="shared" si="54"/>
        <v>34386.427241484373</v>
      </c>
      <c r="BX10" s="250">
        <f t="shared" si="55"/>
        <v>4044.2500710881245</v>
      </c>
      <c r="BZ10" s="250">
        <f t="shared" si="56"/>
        <v>0</v>
      </c>
      <c r="CA10" s="250">
        <f t="shared" si="57"/>
        <v>0</v>
      </c>
      <c r="CB10" s="250">
        <f t="shared" si="58"/>
        <v>0</v>
      </c>
      <c r="CC10" s="250">
        <f t="shared" si="59"/>
        <v>0</v>
      </c>
    </row>
    <row r="11" spans="1:84" x14ac:dyDescent="0.2">
      <c r="A11" s="28">
        <v>45931</v>
      </c>
      <c r="D11" s="3">
        <v>209250</v>
      </c>
      <c r="E11" s="3">
        <f t="shared" si="0"/>
        <v>209250</v>
      </c>
      <c r="F11" s="3">
        <v>166259</v>
      </c>
      <c r="I11" s="5">
        <f t="shared" si="1"/>
        <v>209249.99999999997</v>
      </c>
      <c r="J11" s="5">
        <f t="shared" si="2"/>
        <v>209249.99999999997</v>
      </c>
      <c r="K11" s="5">
        <f t="shared" si="3"/>
        <v>166258.99999999994</v>
      </c>
      <c r="M11" s="250">
        <f t="shared" si="4"/>
        <v>0</v>
      </c>
      <c r="N11" s="250">
        <f t="shared" si="5"/>
        <v>81512.618072343743</v>
      </c>
      <c r="O11" s="250">
        <f t="shared" si="6"/>
        <v>81512.618072343743</v>
      </c>
      <c r="P11" s="250">
        <f t="shared" si="7"/>
        <v>64765.621830775621</v>
      </c>
      <c r="R11" s="250">
        <f t="shared" si="8"/>
        <v>0</v>
      </c>
      <c r="S11" s="250">
        <f t="shared" si="9"/>
        <v>1074.8281879687499</v>
      </c>
      <c r="T11" s="250">
        <f t="shared" si="10"/>
        <v>1074.8281879687499</v>
      </c>
      <c r="U11" s="250">
        <f t="shared" si="11"/>
        <v>854.0017190131249</v>
      </c>
      <c r="W11" s="250">
        <f t="shared" si="12"/>
        <v>0</v>
      </c>
      <c r="X11" s="250">
        <f t="shared" si="13"/>
        <v>18282.459826406244</v>
      </c>
      <c r="Y11" s="250">
        <f t="shared" si="14"/>
        <v>18282.459826406244</v>
      </c>
      <c r="Z11" s="250">
        <f t="shared" si="15"/>
        <v>14526.277124389369</v>
      </c>
      <c r="AB11" s="250">
        <f t="shared" si="16"/>
        <v>0</v>
      </c>
      <c r="AC11" s="250">
        <f t="shared" si="17"/>
        <v>10390.921329375</v>
      </c>
      <c r="AD11" s="250">
        <f t="shared" si="18"/>
        <v>10390.921329375</v>
      </c>
      <c r="AE11" s="250">
        <f t="shared" si="19"/>
        <v>8256.077368222499</v>
      </c>
      <c r="AG11" s="250">
        <f t="shared" si="20"/>
        <v>0</v>
      </c>
      <c r="AH11" s="250">
        <f t="shared" si="21"/>
        <v>15127.761576093748</v>
      </c>
      <c r="AI11" s="250">
        <f t="shared" si="22"/>
        <v>15127.761576093748</v>
      </c>
      <c r="AJ11" s="250">
        <f t="shared" si="23"/>
        <v>12019.720486880624</v>
      </c>
      <c r="AL11" s="250">
        <f t="shared" si="24"/>
        <v>0</v>
      </c>
      <c r="AM11" s="250">
        <f t="shared" si="25"/>
        <v>1762.9303345312499</v>
      </c>
      <c r="AN11" s="250">
        <f t="shared" si="26"/>
        <v>1762.9303345312499</v>
      </c>
      <c r="AO11" s="250">
        <f t="shared" si="27"/>
        <v>1400.7313476168749</v>
      </c>
      <c r="AQ11" s="250">
        <f t="shared" si="28"/>
        <v>0</v>
      </c>
      <c r="AR11" s="250">
        <f t="shared" si="29"/>
        <v>4317.9550959374992</v>
      </c>
      <c r="AS11" s="250">
        <f t="shared" si="30"/>
        <v>4317.9550959374992</v>
      </c>
      <c r="AT11" s="250">
        <f t="shared" si="31"/>
        <v>3430.8190981862494</v>
      </c>
      <c r="AV11" s="250">
        <f t="shared" si="32"/>
        <v>0</v>
      </c>
      <c r="AW11" s="250">
        <f t="shared" si="33"/>
        <v>6517.5141965624989</v>
      </c>
      <c r="AX11" s="250">
        <f t="shared" si="34"/>
        <v>6517.5141965624989</v>
      </c>
      <c r="AY11" s="250">
        <f t="shared" si="35"/>
        <v>5178.4726060037492</v>
      </c>
      <c r="BA11" s="250">
        <f t="shared" si="36"/>
        <v>0</v>
      </c>
      <c r="BB11" s="250">
        <f t="shared" si="37"/>
        <v>9899.9869570312494</v>
      </c>
      <c r="BC11" s="250">
        <f t="shared" si="38"/>
        <v>9899.9869570312494</v>
      </c>
      <c r="BD11" s="250">
        <f t="shared" si="39"/>
        <v>7866.0068410468739</v>
      </c>
      <c r="BF11" s="250">
        <f t="shared" si="40"/>
        <v>0</v>
      </c>
      <c r="BG11" s="250">
        <f t="shared" si="41"/>
        <v>4262.4803053124988</v>
      </c>
      <c r="BH11" s="250">
        <f t="shared" si="42"/>
        <v>4262.4803053124988</v>
      </c>
      <c r="BI11" s="250">
        <f t="shared" si="43"/>
        <v>3386.7417590487494</v>
      </c>
      <c r="BK11" s="250">
        <f t="shared" si="44"/>
        <v>0</v>
      </c>
      <c r="BL11" s="250">
        <f t="shared" si="45"/>
        <v>15658.3755028125</v>
      </c>
      <c r="BM11" s="250">
        <f t="shared" si="46"/>
        <v>15658.3755028125</v>
      </c>
      <c r="BN11" s="250">
        <f t="shared" si="47"/>
        <v>12441.31829257875</v>
      </c>
      <c r="BP11" s="250">
        <f t="shared" si="48"/>
        <v>0</v>
      </c>
      <c r="BQ11" s="250">
        <f t="shared" si="49"/>
        <v>35352.16249640625</v>
      </c>
      <c r="BR11" s="250">
        <f t="shared" si="50"/>
        <v>35352.16249640625</v>
      </c>
      <c r="BS11" s="250">
        <f t="shared" si="51"/>
        <v>28088.96145514938</v>
      </c>
      <c r="BU11" s="250">
        <f t="shared" si="52"/>
        <v>0</v>
      </c>
      <c r="BV11" s="250">
        <f t="shared" si="53"/>
        <v>5090.0061192187495</v>
      </c>
      <c r="BW11" s="250">
        <f t="shared" si="54"/>
        <v>5090.0061192187495</v>
      </c>
      <c r="BX11" s="250">
        <f t="shared" si="55"/>
        <v>4044.2500710881245</v>
      </c>
      <c r="BZ11" s="250">
        <f t="shared" si="56"/>
        <v>0</v>
      </c>
      <c r="CA11" s="250">
        <f t="shared" si="57"/>
        <v>0</v>
      </c>
      <c r="CB11" s="250">
        <f t="shared" si="58"/>
        <v>0</v>
      </c>
      <c r="CC11" s="250">
        <f t="shared" si="59"/>
        <v>0</v>
      </c>
    </row>
    <row r="12" spans="1:84" x14ac:dyDescent="0.2">
      <c r="A12" s="28">
        <v>46113</v>
      </c>
      <c r="B12" s="29"/>
      <c r="C12" s="3">
        <v>1230000</v>
      </c>
      <c r="D12" s="3">
        <v>209250</v>
      </c>
      <c r="E12" s="3">
        <f t="shared" si="0"/>
        <v>1439250</v>
      </c>
      <c r="F12" s="3">
        <v>166259</v>
      </c>
      <c r="H12" s="5">
        <f t="shared" si="60"/>
        <v>1229999.9999999998</v>
      </c>
      <c r="I12" s="5">
        <f t="shared" si="1"/>
        <v>209249.99999999997</v>
      </c>
      <c r="J12" s="5">
        <f t="shared" si="2"/>
        <v>1439249.9999999998</v>
      </c>
      <c r="K12" s="5">
        <f t="shared" si="3"/>
        <v>166258.99999999994</v>
      </c>
      <c r="M12" s="250">
        <f t="shared" si="4"/>
        <v>479142.27110624994</v>
      </c>
      <c r="N12" s="250">
        <f t="shared" si="5"/>
        <v>81512.618072343743</v>
      </c>
      <c r="O12" s="250">
        <f t="shared" si="6"/>
        <v>560654.88917859364</v>
      </c>
      <c r="P12" s="250">
        <f t="shared" si="7"/>
        <v>64765.621830775621</v>
      </c>
      <c r="R12" s="250">
        <f t="shared" si="8"/>
        <v>6317.9864812499991</v>
      </c>
      <c r="S12" s="250">
        <f t="shared" si="9"/>
        <v>1074.8281879687499</v>
      </c>
      <c r="T12" s="250">
        <f t="shared" si="10"/>
        <v>7392.8146692187493</v>
      </c>
      <c r="U12" s="250">
        <f t="shared" si="11"/>
        <v>854.0017190131249</v>
      </c>
      <c r="W12" s="250">
        <f t="shared" si="12"/>
        <v>107466.78894374997</v>
      </c>
      <c r="X12" s="250">
        <f t="shared" si="13"/>
        <v>18282.459826406244</v>
      </c>
      <c r="Y12" s="250">
        <f t="shared" si="14"/>
        <v>125749.24877015621</v>
      </c>
      <c r="Z12" s="250">
        <f t="shared" si="15"/>
        <v>14526.277124389369</v>
      </c>
      <c r="AB12" s="250">
        <f t="shared" si="16"/>
        <v>61079.250824999996</v>
      </c>
      <c r="AC12" s="250">
        <f t="shared" si="17"/>
        <v>10390.921329375</v>
      </c>
      <c r="AD12" s="250">
        <f t="shared" si="18"/>
        <v>71470.172154375003</v>
      </c>
      <c r="AE12" s="250">
        <f t="shared" si="19"/>
        <v>8256.077368222499</v>
      </c>
      <c r="AG12" s="250">
        <f t="shared" si="20"/>
        <v>88923.042956249992</v>
      </c>
      <c r="AH12" s="250">
        <f t="shared" si="21"/>
        <v>15127.761576093748</v>
      </c>
      <c r="AI12" s="250">
        <f t="shared" si="22"/>
        <v>104050.80453234374</v>
      </c>
      <c r="AJ12" s="250">
        <f t="shared" si="23"/>
        <v>12019.720486880624</v>
      </c>
      <c r="AL12" s="250">
        <f t="shared" si="24"/>
        <v>10362.744618749999</v>
      </c>
      <c r="AM12" s="250">
        <f t="shared" si="25"/>
        <v>1762.9303345312499</v>
      </c>
      <c r="AN12" s="250">
        <f t="shared" si="26"/>
        <v>12125.674953281248</v>
      </c>
      <c r="AO12" s="250">
        <f t="shared" si="27"/>
        <v>1400.7313476168749</v>
      </c>
      <c r="AQ12" s="250">
        <f t="shared" si="28"/>
        <v>25381.528162499995</v>
      </c>
      <c r="AR12" s="250">
        <f t="shared" si="29"/>
        <v>4317.9550959374992</v>
      </c>
      <c r="AS12" s="250">
        <f t="shared" si="30"/>
        <v>29699.483258437496</v>
      </c>
      <c r="AT12" s="250">
        <f t="shared" si="31"/>
        <v>3430.8190981862494</v>
      </c>
      <c r="AV12" s="250">
        <f t="shared" si="32"/>
        <v>38310.836137499995</v>
      </c>
      <c r="AW12" s="250">
        <f t="shared" si="33"/>
        <v>6517.5141965624989</v>
      </c>
      <c r="AX12" s="250">
        <f t="shared" si="34"/>
        <v>44828.350334062496</v>
      </c>
      <c r="AY12" s="250">
        <f t="shared" si="35"/>
        <v>5178.4726060037492</v>
      </c>
      <c r="BA12" s="250">
        <f t="shared" si="36"/>
        <v>58193.471718749992</v>
      </c>
      <c r="BB12" s="250">
        <f t="shared" si="37"/>
        <v>9899.9869570312494</v>
      </c>
      <c r="BC12" s="250">
        <f t="shared" si="38"/>
        <v>68093.458675781236</v>
      </c>
      <c r="BD12" s="250">
        <f t="shared" si="39"/>
        <v>7866.0068410468739</v>
      </c>
      <c r="BF12" s="250">
        <f t="shared" si="40"/>
        <v>25055.439787499996</v>
      </c>
      <c r="BG12" s="250">
        <f t="shared" si="41"/>
        <v>4262.4803053124988</v>
      </c>
      <c r="BH12" s="250">
        <f t="shared" si="42"/>
        <v>29317.920092812496</v>
      </c>
      <c r="BI12" s="250">
        <f t="shared" si="43"/>
        <v>3386.7417590487494</v>
      </c>
      <c r="BK12" s="250">
        <f t="shared" si="44"/>
        <v>92042.0638875</v>
      </c>
      <c r="BL12" s="250">
        <f t="shared" si="45"/>
        <v>15658.3755028125</v>
      </c>
      <c r="BM12" s="250">
        <f t="shared" si="46"/>
        <v>107700.4393903125</v>
      </c>
      <c r="BN12" s="250">
        <f t="shared" si="47"/>
        <v>12441.31829257875</v>
      </c>
      <c r="BP12" s="250">
        <f t="shared" si="48"/>
        <v>207804.82614375002</v>
      </c>
      <c r="BQ12" s="250">
        <f t="shared" si="49"/>
        <v>35352.16249640625</v>
      </c>
      <c r="BR12" s="250">
        <f t="shared" si="50"/>
        <v>243156.98864015628</v>
      </c>
      <c r="BS12" s="250">
        <f t="shared" si="51"/>
        <v>28088.96145514938</v>
      </c>
      <c r="BU12" s="250">
        <f t="shared" si="52"/>
        <v>29919.749231249996</v>
      </c>
      <c r="BV12" s="250">
        <f t="shared" si="53"/>
        <v>5090.0061192187495</v>
      </c>
      <c r="BW12" s="250">
        <f t="shared" si="54"/>
        <v>35009.755350468746</v>
      </c>
      <c r="BX12" s="250">
        <f t="shared" si="55"/>
        <v>4044.2500710881245</v>
      </c>
      <c r="BZ12" s="250">
        <f t="shared" si="56"/>
        <v>0</v>
      </c>
      <c r="CA12" s="250">
        <f t="shared" si="57"/>
        <v>0</v>
      </c>
      <c r="CB12" s="250">
        <f t="shared" si="58"/>
        <v>0</v>
      </c>
      <c r="CC12" s="250">
        <f t="shared" si="59"/>
        <v>0</v>
      </c>
    </row>
    <row r="13" spans="1:84" x14ac:dyDescent="0.2">
      <c r="A13" s="28">
        <v>46296</v>
      </c>
      <c r="D13" s="3">
        <v>178500</v>
      </c>
      <c r="E13" s="3">
        <f t="shared" si="0"/>
        <v>178500</v>
      </c>
      <c r="F13" s="3">
        <v>166259</v>
      </c>
      <c r="I13" s="5">
        <f t="shared" si="1"/>
        <v>178499.99999999994</v>
      </c>
      <c r="J13" s="5">
        <f t="shared" si="2"/>
        <v>178499.99999999994</v>
      </c>
      <c r="K13" s="5">
        <f t="shared" si="3"/>
        <v>166258.99999999994</v>
      </c>
      <c r="M13" s="250">
        <f t="shared" si="4"/>
        <v>0</v>
      </c>
      <c r="N13" s="250">
        <f t="shared" si="5"/>
        <v>69534.06129468749</v>
      </c>
      <c r="O13" s="250">
        <f t="shared" si="6"/>
        <v>69534.06129468749</v>
      </c>
      <c r="P13" s="250">
        <f t="shared" si="7"/>
        <v>64765.621830775621</v>
      </c>
      <c r="R13" s="250">
        <f t="shared" si="8"/>
        <v>0</v>
      </c>
      <c r="S13" s="250">
        <f t="shared" si="9"/>
        <v>916.87852593749994</v>
      </c>
      <c r="T13" s="250">
        <f t="shared" si="10"/>
        <v>916.87852593749994</v>
      </c>
      <c r="U13" s="250">
        <f t="shared" si="11"/>
        <v>854.0017190131249</v>
      </c>
      <c r="W13" s="250">
        <f t="shared" si="12"/>
        <v>0</v>
      </c>
      <c r="X13" s="250">
        <f t="shared" si="13"/>
        <v>15595.790102812494</v>
      </c>
      <c r="Y13" s="250">
        <f t="shared" si="14"/>
        <v>15595.790102812494</v>
      </c>
      <c r="Z13" s="250">
        <f t="shared" si="15"/>
        <v>14526.277124389369</v>
      </c>
      <c r="AB13" s="250">
        <f t="shared" si="16"/>
        <v>0</v>
      </c>
      <c r="AC13" s="250">
        <f t="shared" si="17"/>
        <v>8863.9400587500004</v>
      </c>
      <c r="AD13" s="250">
        <f t="shared" si="18"/>
        <v>8863.9400587500004</v>
      </c>
      <c r="AE13" s="250">
        <f t="shared" si="19"/>
        <v>8256.077368222499</v>
      </c>
      <c r="AG13" s="250">
        <f t="shared" si="20"/>
        <v>0</v>
      </c>
      <c r="AH13" s="250">
        <f t="shared" si="21"/>
        <v>12904.685502187498</v>
      </c>
      <c r="AI13" s="250">
        <f t="shared" si="22"/>
        <v>12904.685502187498</v>
      </c>
      <c r="AJ13" s="250">
        <f t="shared" si="23"/>
        <v>12019.720486880624</v>
      </c>
      <c r="AL13" s="250">
        <f t="shared" si="24"/>
        <v>0</v>
      </c>
      <c r="AM13" s="250">
        <f t="shared" si="25"/>
        <v>1503.8617190624998</v>
      </c>
      <c r="AN13" s="250">
        <f t="shared" si="26"/>
        <v>1503.8617190624998</v>
      </c>
      <c r="AO13" s="250">
        <f t="shared" si="27"/>
        <v>1400.7313476168749</v>
      </c>
      <c r="AQ13" s="250">
        <f t="shared" si="28"/>
        <v>0</v>
      </c>
      <c r="AR13" s="250">
        <f t="shared" si="29"/>
        <v>3683.4168918749997</v>
      </c>
      <c r="AS13" s="250">
        <f t="shared" si="30"/>
        <v>3683.4168918749997</v>
      </c>
      <c r="AT13" s="250">
        <f t="shared" si="31"/>
        <v>3430.8190981862494</v>
      </c>
      <c r="AV13" s="250">
        <f t="shared" si="32"/>
        <v>0</v>
      </c>
      <c r="AW13" s="250">
        <f t="shared" si="33"/>
        <v>5559.7432931249996</v>
      </c>
      <c r="AX13" s="250">
        <f t="shared" si="34"/>
        <v>5559.7432931249996</v>
      </c>
      <c r="AY13" s="250">
        <f t="shared" si="35"/>
        <v>5178.4726060037492</v>
      </c>
      <c r="BA13" s="250">
        <f t="shared" si="36"/>
        <v>0</v>
      </c>
      <c r="BB13" s="250">
        <f t="shared" si="37"/>
        <v>8445.1501640624992</v>
      </c>
      <c r="BC13" s="250">
        <f t="shared" si="38"/>
        <v>8445.1501640624992</v>
      </c>
      <c r="BD13" s="250">
        <f t="shared" si="39"/>
        <v>7866.0068410468739</v>
      </c>
      <c r="BF13" s="250">
        <f t="shared" si="40"/>
        <v>0</v>
      </c>
      <c r="BG13" s="250">
        <f t="shared" si="41"/>
        <v>3636.0943106249993</v>
      </c>
      <c r="BH13" s="250">
        <f t="shared" si="42"/>
        <v>3636.0943106249993</v>
      </c>
      <c r="BI13" s="250">
        <f t="shared" si="43"/>
        <v>3386.7417590487494</v>
      </c>
      <c r="BK13" s="250">
        <f t="shared" si="44"/>
        <v>0</v>
      </c>
      <c r="BL13" s="250">
        <f t="shared" si="45"/>
        <v>13357.323905625</v>
      </c>
      <c r="BM13" s="250">
        <f t="shared" si="46"/>
        <v>13357.323905625</v>
      </c>
      <c r="BN13" s="250">
        <f t="shared" si="47"/>
        <v>12441.31829257875</v>
      </c>
      <c r="BP13" s="250">
        <f t="shared" si="48"/>
        <v>0</v>
      </c>
      <c r="BQ13" s="250">
        <f t="shared" si="49"/>
        <v>30157.041842812505</v>
      </c>
      <c r="BR13" s="250">
        <f t="shared" si="50"/>
        <v>30157.041842812505</v>
      </c>
      <c r="BS13" s="250">
        <f t="shared" si="51"/>
        <v>28088.96145514938</v>
      </c>
      <c r="BU13" s="250">
        <f t="shared" si="52"/>
        <v>0</v>
      </c>
      <c r="BV13" s="250">
        <f t="shared" si="53"/>
        <v>4342.0123884374989</v>
      </c>
      <c r="BW13" s="250">
        <f t="shared" si="54"/>
        <v>4342.0123884374989</v>
      </c>
      <c r="BX13" s="250">
        <f t="shared" si="55"/>
        <v>4044.2500710881245</v>
      </c>
      <c r="BZ13" s="250">
        <f t="shared" si="56"/>
        <v>0</v>
      </c>
      <c r="CA13" s="250">
        <f t="shared" si="57"/>
        <v>0</v>
      </c>
      <c r="CB13" s="250">
        <f t="shared" si="58"/>
        <v>0</v>
      </c>
      <c r="CC13" s="250">
        <f t="shared" si="59"/>
        <v>0</v>
      </c>
    </row>
    <row r="14" spans="1:84" x14ac:dyDescent="0.2">
      <c r="A14" s="28">
        <v>46478</v>
      </c>
      <c r="C14" s="3">
        <v>1295000</v>
      </c>
      <c r="D14" s="3">
        <v>178500</v>
      </c>
      <c r="E14" s="3">
        <f t="shared" si="0"/>
        <v>1473500</v>
      </c>
      <c r="F14" s="3">
        <v>166259</v>
      </c>
      <c r="H14" s="5">
        <f t="shared" si="60"/>
        <v>1295000</v>
      </c>
      <c r="I14" s="5">
        <f t="shared" si="1"/>
        <v>178499.99999999994</v>
      </c>
      <c r="J14" s="5">
        <f t="shared" si="2"/>
        <v>1473500</v>
      </c>
      <c r="K14" s="5">
        <f t="shared" si="3"/>
        <v>166258.99999999994</v>
      </c>
      <c r="M14" s="250">
        <f t="shared" si="4"/>
        <v>504462.79762812494</v>
      </c>
      <c r="N14" s="250">
        <f t="shared" si="5"/>
        <v>69534.06129468749</v>
      </c>
      <c r="O14" s="250">
        <f t="shared" si="6"/>
        <v>573996.85892281239</v>
      </c>
      <c r="P14" s="250">
        <f t="shared" si="7"/>
        <v>64765.621830775621</v>
      </c>
      <c r="R14" s="250">
        <f t="shared" si="8"/>
        <v>6651.863815624999</v>
      </c>
      <c r="S14" s="250">
        <f t="shared" si="9"/>
        <v>916.87852593749994</v>
      </c>
      <c r="T14" s="250">
        <f t="shared" si="10"/>
        <v>7568.742341562499</v>
      </c>
      <c r="U14" s="250">
        <f t="shared" si="11"/>
        <v>854.0017190131249</v>
      </c>
      <c r="W14" s="250">
        <f t="shared" si="12"/>
        <v>113145.92819687496</v>
      </c>
      <c r="X14" s="250">
        <f t="shared" si="13"/>
        <v>15595.790102812494</v>
      </c>
      <c r="Y14" s="250">
        <f t="shared" si="14"/>
        <v>128741.71829968745</v>
      </c>
      <c r="Z14" s="250">
        <f t="shared" si="15"/>
        <v>14526.277124389369</v>
      </c>
      <c r="AB14" s="250">
        <f t="shared" si="16"/>
        <v>64307.016112499994</v>
      </c>
      <c r="AC14" s="250">
        <f t="shared" si="17"/>
        <v>8863.9400587500004</v>
      </c>
      <c r="AD14" s="250">
        <f t="shared" si="18"/>
        <v>73170.95617125</v>
      </c>
      <c r="AE14" s="250">
        <f t="shared" si="19"/>
        <v>8256.077368222499</v>
      </c>
      <c r="AG14" s="250">
        <f t="shared" si="20"/>
        <v>93622.22815312499</v>
      </c>
      <c r="AH14" s="250">
        <f t="shared" si="21"/>
        <v>12904.685502187498</v>
      </c>
      <c r="AI14" s="250">
        <f t="shared" si="22"/>
        <v>106526.91365531248</v>
      </c>
      <c r="AJ14" s="250">
        <f t="shared" si="23"/>
        <v>12019.720486880624</v>
      </c>
      <c r="AL14" s="250">
        <f t="shared" si="24"/>
        <v>10910.369334374998</v>
      </c>
      <c r="AM14" s="250">
        <f t="shared" si="25"/>
        <v>1503.8617190624998</v>
      </c>
      <c r="AN14" s="250">
        <f t="shared" si="26"/>
        <v>12414.231053437497</v>
      </c>
      <c r="AO14" s="250">
        <f t="shared" si="27"/>
        <v>1400.7313476168749</v>
      </c>
      <c r="AQ14" s="250">
        <f t="shared" si="28"/>
        <v>26722.828431249996</v>
      </c>
      <c r="AR14" s="250">
        <f t="shared" si="29"/>
        <v>3683.4168918749997</v>
      </c>
      <c r="AS14" s="250">
        <f t="shared" si="30"/>
        <v>30406.245323124997</v>
      </c>
      <c r="AT14" s="250">
        <f t="shared" si="31"/>
        <v>3430.8190981862494</v>
      </c>
      <c r="AV14" s="250">
        <f t="shared" si="32"/>
        <v>40335.392518749999</v>
      </c>
      <c r="AW14" s="250">
        <f t="shared" si="33"/>
        <v>5559.7432931249996</v>
      </c>
      <c r="AX14" s="250">
        <f t="shared" si="34"/>
        <v>45895.135811874999</v>
      </c>
      <c r="AY14" s="250">
        <f t="shared" si="35"/>
        <v>5178.4726060037492</v>
      </c>
      <c r="BA14" s="250">
        <f t="shared" si="36"/>
        <v>61268.736484374997</v>
      </c>
      <c r="BB14" s="250">
        <f t="shared" si="37"/>
        <v>8445.1501640624992</v>
      </c>
      <c r="BC14" s="250">
        <f t="shared" si="38"/>
        <v>69713.886648437503</v>
      </c>
      <c r="BD14" s="250">
        <f t="shared" si="39"/>
        <v>7866.0068410468739</v>
      </c>
      <c r="BF14" s="250">
        <f t="shared" si="40"/>
        <v>26379.507743749993</v>
      </c>
      <c r="BG14" s="250">
        <f t="shared" si="41"/>
        <v>3636.0943106249993</v>
      </c>
      <c r="BH14" s="250">
        <f t="shared" si="42"/>
        <v>30015.602054374991</v>
      </c>
      <c r="BI14" s="250">
        <f t="shared" si="43"/>
        <v>3386.7417590487494</v>
      </c>
      <c r="BK14" s="250">
        <f t="shared" si="44"/>
        <v>96906.075393749998</v>
      </c>
      <c r="BL14" s="250">
        <f t="shared" si="45"/>
        <v>13357.323905625</v>
      </c>
      <c r="BM14" s="250">
        <f t="shared" si="46"/>
        <v>110263.399299375</v>
      </c>
      <c r="BN14" s="250">
        <f t="shared" si="47"/>
        <v>12441.31829257875</v>
      </c>
      <c r="BP14" s="250">
        <f t="shared" si="48"/>
        <v>218786.38199687502</v>
      </c>
      <c r="BQ14" s="250">
        <f t="shared" si="49"/>
        <v>30157.041842812505</v>
      </c>
      <c r="BR14" s="250">
        <f t="shared" si="50"/>
        <v>248943.42383968752</v>
      </c>
      <c r="BS14" s="250">
        <f t="shared" si="51"/>
        <v>28088.96145514938</v>
      </c>
      <c r="BU14" s="250">
        <f t="shared" si="52"/>
        <v>31500.874190624996</v>
      </c>
      <c r="BV14" s="250">
        <f t="shared" si="53"/>
        <v>4342.0123884374989</v>
      </c>
      <c r="BW14" s="250">
        <f t="shared" si="54"/>
        <v>35842.886579062499</v>
      </c>
      <c r="BX14" s="250">
        <f t="shared" si="55"/>
        <v>4044.2500710881245</v>
      </c>
      <c r="BZ14" s="250">
        <f t="shared" si="56"/>
        <v>0</v>
      </c>
      <c r="CA14" s="250">
        <f t="shared" si="57"/>
        <v>0</v>
      </c>
      <c r="CB14" s="250">
        <f t="shared" si="58"/>
        <v>0</v>
      </c>
      <c r="CC14" s="250">
        <f t="shared" si="59"/>
        <v>0</v>
      </c>
    </row>
    <row r="15" spans="1:84" x14ac:dyDescent="0.2">
      <c r="A15" s="28">
        <v>46661</v>
      </c>
      <c r="D15" s="3">
        <v>146125</v>
      </c>
      <c r="E15" s="3">
        <f t="shared" si="0"/>
        <v>146125</v>
      </c>
      <c r="F15" s="3">
        <v>166259</v>
      </c>
      <c r="I15" s="5">
        <f t="shared" si="1"/>
        <v>146124.99999999997</v>
      </c>
      <c r="J15" s="5">
        <f t="shared" si="2"/>
        <v>146124.99999999997</v>
      </c>
      <c r="K15" s="5">
        <f t="shared" si="3"/>
        <v>166258.99999999994</v>
      </c>
      <c r="M15" s="250">
        <f t="shared" si="4"/>
        <v>0</v>
      </c>
      <c r="N15" s="250">
        <f t="shared" si="5"/>
        <v>56922.491353984369</v>
      </c>
      <c r="O15" s="250">
        <f t="shared" si="6"/>
        <v>56922.491353984369</v>
      </c>
      <c r="P15" s="250">
        <f t="shared" si="7"/>
        <v>64765.621830775621</v>
      </c>
      <c r="R15" s="250">
        <f t="shared" si="8"/>
        <v>0</v>
      </c>
      <c r="S15" s="250">
        <f t="shared" si="9"/>
        <v>750.5819305468749</v>
      </c>
      <c r="T15" s="250">
        <f t="shared" si="10"/>
        <v>750.5819305468749</v>
      </c>
      <c r="U15" s="250">
        <f t="shared" si="11"/>
        <v>854.0017190131249</v>
      </c>
      <c r="W15" s="250">
        <f t="shared" si="12"/>
        <v>0</v>
      </c>
      <c r="X15" s="250">
        <f t="shared" si="13"/>
        <v>12767.14189789062</v>
      </c>
      <c r="Y15" s="250">
        <f t="shared" si="14"/>
        <v>12767.14189789062</v>
      </c>
      <c r="Z15" s="250">
        <f t="shared" si="15"/>
        <v>14526.277124389369</v>
      </c>
      <c r="AB15" s="250">
        <f t="shared" si="16"/>
        <v>0</v>
      </c>
      <c r="AC15" s="250">
        <f t="shared" si="17"/>
        <v>7256.2646559374998</v>
      </c>
      <c r="AD15" s="250">
        <f t="shared" si="18"/>
        <v>7256.2646559374998</v>
      </c>
      <c r="AE15" s="250">
        <f t="shared" si="19"/>
        <v>8256.077368222499</v>
      </c>
      <c r="AG15" s="250">
        <f t="shared" si="20"/>
        <v>0</v>
      </c>
      <c r="AH15" s="250">
        <f t="shared" si="21"/>
        <v>10564.129798359374</v>
      </c>
      <c r="AI15" s="250">
        <f t="shared" si="22"/>
        <v>10564.129798359374</v>
      </c>
      <c r="AJ15" s="250">
        <f t="shared" si="23"/>
        <v>12019.720486880624</v>
      </c>
      <c r="AL15" s="250">
        <f t="shared" si="24"/>
        <v>0</v>
      </c>
      <c r="AM15" s="250">
        <f t="shared" si="25"/>
        <v>1231.1024857031248</v>
      </c>
      <c r="AN15" s="250">
        <f t="shared" si="26"/>
        <v>1231.1024857031248</v>
      </c>
      <c r="AO15" s="250">
        <f t="shared" si="27"/>
        <v>1400.7313476168749</v>
      </c>
      <c r="AQ15" s="250">
        <f t="shared" si="28"/>
        <v>0</v>
      </c>
      <c r="AR15" s="250">
        <f t="shared" si="29"/>
        <v>3015.3461810937497</v>
      </c>
      <c r="AS15" s="250">
        <f t="shared" si="30"/>
        <v>3015.3461810937497</v>
      </c>
      <c r="AT15" s="250">
        <f t="shared" si="31"/>
        <v>3430.8190981862494</v>
      </c>
      <c r="AV15" s="250">
        <f t="shared" si="32"/>
        <v>0</v>
      </c>
      <c r="AW15" s="250">
        <f t="shared" si="33"/>
        <v>4551.3584801562492</v>
      </c>
      <c r="AX15" s="250">
        <f t="shared" si="34"/>
        <v>4551.3584801562492</v>
      </c>
      <c r="AY15" s="250">
        <f t="shared" si="35"/>
        <v>5178.4726060037492</v>
      </c>
      <c r="BA15" s="250">
        <f t="shared" si="36"/>
        <v>0</v>
      </c>
      <c r="BB15" s="250">
        <f t="shared" si="37"/>
        <v>6913.4317519531241</v>
      </c>
      <c r="BC15" s="250">
        <f t="shared" si="38"/>
        <v>6913.4317519531241</v>
      </c>
      <c r="BD15" s="250">
        <f t="shared" si="39"/>
        <v>7866.0068410468739</v>
      </c>
      <c r="BF15" s="250">
        <f t="shared" si="40"/>
        <v>0</v>
      </c>
      <c r="BG15" s="250">
        <f t="shared" si="41"/>
        <v>2976.6066170312492</v>
      </c>
      <c r="BH15" s="250">
        <f t="shared" si="42"/>
        <v>2976.6066170312492</v>
      </c>
      <c r="BI15" s="250">
        <f t="shared" si="43"/>
        <v>3386.7417590487494</v>
      </c>
      <c r="BK15" s="250">
        <f t="shared" si="44"/>
        <v>0</v>
      </c>
      <c r="BL15" s="250">
        <f t="shared" si="45"/>
        <v>10934.67202078125</v>
      </c>
      <c r="BM15" s="250">
        <f t="shared" si="46"/>
        <v>10934.67202078125</v>
      </c>
      <c r="BN15" s="250">
        <f t="shared" si="47"/>
        <v>12441.31829257875</v>
      </c>
      <c r="BP15" s="250">
        <f t="shared" si="48"/>
        <v>0</v>
      </c>
      <c r="BQ15" s="250">
        <f t="shared" si="49"/>
        <v>24687.382292890627</v>
      </c>
      <c r="BR15" s="250">
        <f t="shared" si="50"/>
        <v>24687.382292890627</v>
      </c>
      <c r="BS15" s="250">
        <f t="shared" si="51"/>
        <v>28088.96145514938</v>
      </c>
      <c r="BU15" s="250">
        <f t="shared" si="52"/>
        <v>0</v>
      </c>
      <c r="BV15" s="250">
        <f t="shared" si="53"/>
        <v>3554.4905336718743</v>
      </c>
      <c r="BW15" s="250">
        <f t="shared" si="54"/>
        <v>3554.4905336718743</v>
      </c>
      <c r="BX15" s="250">
        <f t="shared" si="55"/>
        <v>4044.2500710881245</v>
      </c>
      <c r="BZ15" s="250">
        <f t="shared" si="56"/>
        <v>0</v>
      </c>
      <c r="CA15" s="250">
        <f t="shared" si="57"/>
        <v>0</v>
      </c>
      <c r="CB15" s="250">
        <f t="shared" si="58"/>
        <v>0</v>
      </c>
      <c r="CC15" s="250">
        <f t="shared" si="59"/>
        <v>0</v>
      </c>
    </row>
    <row r="16" spans="1:84" x14ac:dyDescent="0.2">
      <c r="A16" s="28">
        <v>46844</v>
      </c>
      <c r="C16" s="3">
        <v>1355000</v>
      </c>
      <c r="D16" s="3">
        <v>146125</v>
      </c>
      <c r="E16" s="3">
        <f t="shared" si="0"/>
        <v>1501125</v>
      </c>
      <c r="F16" s="3">
        <v>166259</v>
      </c>
      <c r="H16" s="5">
        <f t="shared" si="60"/>
        <v>1355000</v>
      </c>
      <c r="I16" s="5">
        <f t="shared" si="1"/>
        <v>146124.99999999997</v>
      </c>
      <c r="J16" s="5">
        <f t="shared" si="2"/>
        <v>1501125</v>
      </c>
      <c r="K16" s="5">
        <f t="shared" si="3"/>
        <v>166258.99999999994</v>
      </c>
      <c r="M16" s="250">
        <f t="shared" si="4"/>
        <v>527835.59134062496</v>
      </c>
      <c r="N16" s="250">
        <f t="shared" si="5"/>
        <v>56922.491353984369</v>
      </c>
      <c r="O16" s="250">
        <f t="shared" si="6"/>
        <v>584758.0826946093</v>
      </c>
      <c r="P16" s="250">
        <f t="shared" si="7"/>
        <v>64765.621830775621</v>
      </c>
      <c r="R16" s="250">
        <f t="shared" si="8"/>
        <v>6960.0582781249996</v>
      </c>
      <c r="S16" s="250">
        <f t="shared" si="9"/>
        <v>750.5819305468749</v>
      </c>
      <c r="T16" s="250">
        <f t="shared" si="10"/>
        <v>7710.6402086718745</v>
      </c>
      <c r="U16" s="250">
        <f t="shared" si="11"/>
        <v>854.0017190131249</v>
      </c>
      <c r="W16" s="250">
        <f t="shared" si="12"/>
        <v>118388.21058437496</v>
      </c>
      <c r="X16" s="250">
        <f t="shared" si="13"/>
        <v>12767.14189789062</v>
      </c>
      <c r="Y16" s="250">
        <f t="shared" si="14"/>
        <v>131155.35248226559</v>
      </c>
      <c r="Z16" s="250">
        <f t="shared" si="15"/>
        <v>14526.277124389369</v>
      </c>
      <c r="AB16" s="250">
        <f t="shared" si="16"/>
        <v>67286.491762499994</v>
      </c>
      <c r="AC16" s="250">
        <f t="shared" si="17"/>
        <v>7256.2646559374998</v>
      </c>
      <c r="AD16" s="250">
        <f t="shared" si="18"/>
        <v>74542.756418437493</v>
      </c>
      <c r="AE16" s="250">
        <f t="shared" si="19"/>
        <v>8256.077368222499</v>
      </c>
      <c r="AG16" s="250">
        <f t="shared" si="20"/>
        <v>97959.93756562499</v>
      </c>
      <c r="AH16" s="250">
        <f t="shared" si="21"/>
        <v>10564.129798359374</v>
      </c>
      <c r="AI16" s="250">
        <f t="shared" si="22"/>
        <v>108524.06736398436</v>
      </c>
      <c r="AJ16" s="250">
        <f t="shared" si="23"/>
        <v>12019.720486880624</v>
      </c>
      <c r="AL16" s="250">
        <f t="shared" si="24"/>
        <v>11415.869071874999</v>
      </c>
      <c r="AM16" s="250">
        <f t="shared" si="25"/>
        <v>1231.1024857031248</v>
      </c>
      <c r="AN16" s="250">
        <f t="shared" si="26"/>
        <v>12646.971557578123</v>
      </c>
      <c r="AO16" s="250">
        <f t="shared" si="27"/>
        <v>1400.7313476168749</v>
      </c>
      <c r="AQ16" s="250">
        <f t="shared" si="28"/>
        <v>27960.951756249997</v>
      </c>
      <c r="AR16" s="250">
        <f t="shared" si="29"/>
        <v>3015.3461810937497</v>
      </c>
      <c r="AS16" s="250">
        <f t="shared" si="30"/>
        <v>30976.297937343748</v>
      </c>
      <c r="AT16" s="250">
        <f t="shared" si="31"/>
        <v>3430.8190981862494</v>
      </c>
      <c r="AV16" s="250">
        <f t="shared" si="32"/>
        <v>42204.213793749994</v>
      </c>
      <c r="AW16" s="250">
        <f t="shared" si="33"/>
        <v>4551.3584801562492</v>
      </c>
      <c r="AX16" s="250">
        <f t="shared" si="34"/>
        <v>46755.57227390624</v>
      </c>
      <c r="AY16" s="250">
        <f t="shared" si="35"/>
        <v>5178.4726060037492</v>
      </c>
      <c r="BA16" s="250">
        <f t="shared" si="36"/>
        <v>64107.442421874992</v>
      </c>
      <c r="BB16" s="250">
        <f t="shared" si="37"/>
        <v>6913.4317519531241</v>
      </c>
      <c r="BC16" s="250">
        <f t="shared" si="38"/>
        <v>71020.87417382811</v>
      </c>
      <c r="BD16" s="250">
        <f t="shared" si="39"/>
        <v>7866.0068410468739</v>
      </c>
      <c r="BF16" s="250">
        <f t="shared" si="40"/>
        <v>27601.724318749995</v>
      </c>
      <c r="BG16" s="250">
        <f t="shared" si="41"/>
        <v>2976.6066170312492</v>
      </c>
      <c r="BH16" s="250">
        <f t="shared" si="42"/>
        <v>30578.330935781243</v>
      </c>
      <c r="BI16" s="250">
        <f t="shared" si="43"/>
        <v>3386.7417590487494</v>
      </c>
      <c r="BK16" s="250">
        <f t="shared" si="44"/>
        <v>101395.93216875001</v>
      </c>
      <c r="BL16" s="250">
        <f t="shared" si="45"/>
        <v>10934.67202078125</v>
      </c>
      <c r="BM16" s="250">
        <f t="shared" si="46"/>
        <v>112330.60418953125</v>
      </c>
      <c r="BN16" s="250">
        <f t="shared" si="47"/>
        <v>12441.31829257875</v>
      </c>
      <c r="BP16" s="250">
        <f t="shared" si="48"/>
        <v>228923.20278437503</v>
      </c>
      <c r="BQ16" s="250">
        <f t="shared" si="49"/>
        <v>24687.382292890627</v>
      </c>
      <c r="BR16" s="250">
        <f t="shared" si="50"/>
        <v>253610.58507726566</v>
      </c>
      <c r="BS16" s="250">
        <f t="shared" si="51"/>
        <v>28088.96145514938</v>
      </c>
      <c r="BU16" s="250">
        <f t="shared" si="52"/>
        <v>32960.374153124998</v>
      </c>
      <c r="BV16" s="250">
        <f t="shared" si="53"/>
        <v>3554.4905336718743</v>
      </c>
      <c r="BW16" s="250">
        <f t="shared" si="54"/>
        <v>36514.864686796871</v>
      </c>
      <c r="BX16" s="250">
        <f t="shared" si="55"/>
        <v>4044.2500710881245</v>
      </c>
      <c r="BZ16" s="250">
        <f t="shared" si="56"/>
        <v>0</v>
      </c>
      <c r="CA16" s="250">
        <f t="shared" si="57"/>
        <v>0</v>
      </c>
      <c r="CB16" s="250">
        <f t="shared" si="58"/>
        <v>0</v>
      </c>
      <c r="CC16" s="250">
        <f t="shared" si="59"/>
        <v>0</v>
      </c>
    </row>
    <row r="17" spans="1:82" x14ac:dyDescent="0.2">
      <c r="A17" s="28">
        <v>47027</v>
      </c>
      <c r="D17" s="3">
        <v>112250</v>
      </c>
      <c r="E17" s="3">
        <f t="shared" si="0"/>
        <v>112250</v>
      </c>
      <c r="F17" s="3">
        <v>166259</v>
      </c>
      <c r="I17" s="5">
        <f t="shared" si="1"/>
        <v>112249.99999999996</v>
      </c>
      <c r="J17" s="5">
        <f t="shared" si="2"/>
        <v>112249.99999999996</v>
      </c>
      <c r="K17" s="5">
        <f t="shared" si="3"/>
        <v>166258.99999999994</v>
      </c>
      <c r="M17" s="250">
        <f t="shared" si="4"/>
        <v>0</v>
      </c>
      <c r="N17" s="250">
        <f t="shared" si="5"/>
        <v>43726.601570468745</v>
      </c>
      <c r="O17" s="250">
        <f t="shared" si="6"/>
        <v>43726.601570468745</v>
      </c>
      <c r="P17" s="250">
        <f t="shared" si="7"/>
        <v>64765.621830775621</v>
      </c>
      <c r="R17" s="250">
        <f t="shared" si="8"/>
        <v>0</v>
      </c>
      <c r="S17" s="250">
        <f t="shared" si="9"/>
        <v>576.58047359374996</v>
      </c>
      <c r="T17" s="250">
        <f t="shared" si="10"/>
        <v>576.58047359374996</v>
      </c>
      <c r="U17" s="250">
        <f t="shared" si="11"/>
        <v>854.0017190131249</v>
      </c>
      <c r="W17" s="250">
        <f t="shared" si="12"/>
        <v>0</v>
      </c>
      <c r="X17" s="250">
        <f t="shared" si="13"/>
        <v>9807.436633281246</v>
      </c>
      <c r="Y17" s="250">
        <f t="shared" si="14"/>
        <v>9807.436633281246</v>
      </c>
      <c r="Z17" s="250">
        <f t="shared" si="15"/>
        <v>14526.277124389369</v>
      </c>
      <c r="AB17" s="250">
        <f t="shared" si="16"/>
        <v>0</v>
      </c>
      <c r="AC17" s="250">
        <f t="shared" si="17"/>
        <v>5574.1023618749996</v>
      </c>
      <c r="AD17" s="250">
        <f t="shared" si="18"/>
        <v>5574.1023618749996</v>
      </c>
      <c r="AE17" s="250">
        <f t="shared" si="19"/>
        <v>8256.077368222499</v>
      </c>
      <c r="AG17" s="250">
        <f t="shared" si="20"/>
        <v>0</v>
      </c>
      <c r="AH17" s="250">
        <f t="shared" si="21"/>
        <v>8115.1313592187489</v>
      </c>
      <c r="AI17" s="250">
        <f t="shared" si="22"/>
        <v>8115.1313592187489</v>
      </c>
      <c r="AJ17" s="250">
        <f t="shared" si="23"/>
        <v>12019.720486880624</v>
      </c>
      <c r="AL17" s="250">
        <f t="shared" si="24"/>
        <v>0</v>
      </c>
      <c r="AM17" s="250">
        <f t="shared" si="25"/>
        <v>945.70575890624991</v>
      </c>
      <c r="AN17" s="250">
        <f t="shared" si="26"/>
        <v>945.70575890624991</v>
      </c>
      <c r="AO17" s="250">
        <f t="shared" si="27"/>
        <v>1400.7313476168749</v>
      </c>
      <c r="AQ17" s="250">
        <f t="shared" si="28"/>
        <v>0</v>
      </c>
      <c r="AR17" s="250">
        <f t="shared" si="29"/>
        <v>2316.3223871874998</v>
      </c>
      <c r="AS17" s="250">
        <f t="shared" si="30"/>
        <v>2316.3223871874998</v>
      </c>
      <c r="AT17" s="250">
        <f t="shared" si="31"/>
        <v>3430.8190981862494</v>
      </c>
      <c r="AV17" s="250">
        <f t="shared" si="32"/>
        <v>0</v>
      </c>
      <c r="AW17" s="250">
        <f t="shared" si="33"/>
        <v>3496.2531353124996</v>
      </c>
      <c r="AX17" s="250">
        <f t="shared" si="34"/>
        <v>3496.2531353124996</v>
      </c>
      <c r="AY17" s="250">
        <f t="shared" si="35"/>
        <v>5178.4726060037492</v>
      </c>
      <c r="BA17" s="250">
        <f t="shared" si="36"/>
        <v>0</v>
      </c>
      <c r="BB17" s="250">
        <f t="shared" si="37"/>
        <v>5310.7456914062495</v>
      </c>
      <c r="BC17" s="250">
        <f t="shared" si="38"/>
        <v>5310.7456914062495</v>
      </c>
      <c r="BD17" s="250">
        <f t="shared" si="39"/>
        <v>7866.0068410468739</v>
      </c>
      <c r="BF17" s="250">
        <f t="shared" si="40"/>
        <v>0</v>
      </c>
      <c r="BG17" s="250">
        <f t="shared" si="41"/>
        <v>2286.5635090624996</v>
      </c>
      <c r="BH17" s="250">
        <f t="shared" si="42"/>
        <v>2286.5635090624996</v>
      </c>
      <c r="BI17" s="250">
        <f t="shared" si="43"/>
        <v>3386.7417590487494</v>
      </c>
      <c r="BK17" s="250">
        <f t="shared" si="44"/>
        <v>0</v>
      </c>
      <c r="BL17" s="250">
        <f t="shared" si="45"/>
        <v>8399.7737165625003</v>
      </c>
      <c r="BM17" s="250">
        <f t="shared" si="46"/>
        <v>8399.7737165625003</v>
      </c>
      <c r="BN17" s="250">
        <f t="shared" si="47"/>
        <v>12441.31829257875</v>
      </c>
      <c r="BP17" s="250">
        <f t="shared" si="48"/>
        <v>0</v>
      </c>
      <c r="BQ17" s="250">
        <f t="shared" si="49"/>
        <v>18964.302223281251</v>
      </c>
      <c r="BR17" s="250">
        <f t="shared" si="50"/>
        <v>18964.302223281251</v>
      </c>
      <c r="BS17" s="250">
        <f t="shared" si="51"/>
        <v>28088.96145514938</v>
      </c>
      <c r="BU17" s="250">
        <f t="shared" si="52"/>
        <v>0</v>
      </c>
      <c r="BV17" s="250">
        <f t="shared" si="53"/>
        <v>2730.4811798437495</v>
      </c>
      <c r="BW17" s="250">
        <f t="shared" si="54"/>
        <v>2730.4811798437495</v>
      </c>
      <c r="BX17" s="250">
        <f t="shared" si="55"/>
        <v>4044.2500710881245</v>
      </c>
      <c r="BZ17" s="250">
        <f t="shared" si="56"/>
        <v>0</v>
      </c>
      <c r="CA17" s="250">
        <f t="shared" si="57"/>
        <v>0</v>
      </c>
      <c r="CB17" s="250">
        <f t="shared" si="58"/>
        <v>0</v>
      </c>
      <c r="CC17" s="250">
        <f t="shared" si="59"/>
        <v>0</v>
      </c>
    </row>
    <row r="18" spans="1:82" x14ac:dyDescent="0.2">
      <c r="A18" s="28">
        <v>47209</v>
      </c>
      <c r="C18" s="3">
        <v>1425000</v>
      </c>
      <c r="D18" s="3">
        <v>112250</v>
      </c>
      <c r="E18" s="3">
        <f t="shared" si="0"/>
        <v>1537250</v>
      </c>
      <c r="F18" s="3">
        <v>166259</v>
      </c>
      <c r="H18" s="5">
        <f t="shared" si="60"/>
        <v>1424999.9999999998</v>
      </c>
      <c r="I18" s="5">
        <f t="shared" si="1"/>
        <v>112249.99999999996</v>
      </c>
      <c r="J18" s="5">
        <f t="shared" si="2"/>
        <v>1537249.9999999998</v>
      </c>
      <c r="K18" s="5">
        <f t="shared" si="3"/>
        <v>166258.99999999994</v>
      </c>
      <c r="M18" s="250">
        <f t="shared" si="4"/>
        <v>555103.85067187494</v>
      </c>
      <c r="N18" s="250">
        <f t="shared" si="5"/>
        <v>43726.601570468745</v>
      </c>
      <c r="O18" s="250">
        <f t="shared" si="6"/>
        <v>598830.45224234369</v>
      </c>
      <c r="P18" s="250">
        <f t="shared" si="7"/>
        <v>64765.621830775621</v>
      </c>
      <c r="R18" s="250">
        <f t="shared" si="8"/>
        <v>7319.6184843749988</v>
      </c>
      <c r="S18" s="250">
        <f t="shared" si="9"/>
        <v>576.58047359374996</v>
      </c>
      <c r="T18" s="250">
        <f t="shared" si="10"/>
        <v>7896.1989579687488</v>
      </c>
      <c r="U18" s="250">
        <f t="shared" si="11"/>
        <v>854.0017190131249</v>
      </c>
      <c r="W18" s="250">
        <f t="shared" si="12"/>
        <v>124504.20670312496</v>
      </c>
      <c r="X18" s="250">
        <f t="shared" si="13"/>
        <v>9807.436633281246</v>
      </c>
      <c r="Y18" s="250">
        <f t="shared" si="14"/>
        <v>134311.64333640621</v>
      </c>
      <c r="Z18" s="250">
        <f t="shared" si="15"/>
        <v>14526.277124389369</v>
      </c>
      <c r="AB18" s="250">
        <f t="shared" si="16"/>
        <v>70762.546687499998</v>
      </c>
      <c r="AC18" s="250">
        <f t="shared" si="17"/>
        <v>5574.1023618749996</v>
      </c>
      <c r="AD18" s="250">
        <f t="shared" si="18"/>
        <v>76336.649049375003</v>
      </c>
      <c r="AE18" s="250">
        <f t="shared" si="19"/>
        <v>8256.077368222499</v>
      </c>
      <c r="AG18" s="250">
        <f t="shared" si="20"/>
        <v>103020.59854687499</v>
      </c>
      <c r="AH18" s="250">
        <f t="shared" si="21"/>
        <v>8115.1313592187489</v>
      </c>
      <c r="AI18" s="250">
        <f t="shared" si="22"/>
        <v>111135.72990609374</v>
      </c>
      <c r="AJ18" s="250">
        <f t="shared" si="23"/>
        <v>12019.720486880624</v>
      </c>
      <c r="AL18" s="250">
        <f t="shared" si="24"/>
        <v>12005.618765624999</v>
      </c>
      <c r="AM18" s="250">
        <f t="shared" si="25"/>
        <v>945.70575890624991</v>
      </c>
      <c r="AN18" s="250">
        <f t="shared" si="26"/>
        <v>12951.324524531248</v>
      </c>
      <c r="AO18" s="250">
        <f t="shared" si="27"/>
        <v>1400.7313476168749</v>
      </c>
      <c r="AQ18" s="250">
        <f t="shared" si="28"/>
        <v>29405.428968749995</v>
      </c>
      <c r="AR18" s="250">
        <f t="shared" si="29"/>
        <v>2316.3223871874998</v>
      </c>
      <c r="AS18" s="250">
        <f t="shared" si="30"/>
        <v>31721.751355937493</v>
      </c>
      <c r="AT18" s="250">
        <f t="shared" si="31"/>
        <v>3430.8190981862494</v>
      </c>
      <c r="AV18" s="250">
        <f t="shared" si="32"/>
        <v>44384.505281249993</v>
      </c>
      <c r="AW18" s="250">
        <f t="shared" si="33"/>
        <v>3496.2531353124996</v>
      </c>
      <c r="AX18" s="250">
        <f t="shared" si="34"/>
        <v>47880.758416562494</v>
      </c>
      <c r="AY18" s="250">
        <f t="shared" si="35"/>
        <v>5178.4726060037492</v>
      </c>
      <c r="BA18" s="250">
        <f t="shared" si="36"/>
        <v>67419.266015624991</v>
      </c>
      <c r="BB18" s="250">
        <f t="shared" si="37"/>
        <v>5310.7456914062495</v>
      </c>
      <c r="BC18" s="250">
        <f t="shared" si="38"/>
        <v>72730.011707031241</v>
      </c>
      <c r="BD18" s="250">
        <f t="shared" si="39"/>
        <v>7866.0068410468739</v>
      </c>
      <c r="BF18" s="250">
        <f t="shared" si="40"/>
        <v>29027.643656249995</v>
      </c>
      <c r="BG18" s="250">
        <f t="shared" si="41"/>
        <v>2286.5635090624996</v>
      </c>
      <c r="BH18" s="250">
        <f t="shared" si="42"/>
        <v>31314.207165312495</v>
      </c>
      <c r="BI18" s="250">
        <f t="shared" si="43"/>
        <v>3386.7417590487494</v>
      </c>
      <c r="BK18" s="250">
        <f t="shared" si="44"/>
        <v>106634.09840625001</v>
      </c>
      <c r="BL18" s="250">
        <f t="shared" si="45"/>
        <v>8399.7737165625003</v>
      </c>
      <c r="BM18" s="250">
        <f t="shared" si="46"/>
        <v>115033.87212281251</v>
      </c>
      <c r="BN18" s="250">
        <f t="shared" si="47"/>
        <v>12441.31829257875</v>
      </c>
      <c r="BP18" s="250">
        <f t="shared" si="48"/>
        <v>240749.49370312502</v>
      </c>
      <c r="BQ18" s="250">
        <f t="shared" si="49"/>
        <v>18964.302223281251</v>
      </c>
      <c r="BR18" s="250">
        <f t="shared" si="50"/>
        <v>259713.79592640628</v>
      </c>
      <c r="BS18" s="250">
        <f t="shared" si="51"/>
        <v>28088.96145514938</v>
      </c>
      <c r="BU18" s="250">
        <f t="shared" si="52"/>
        <v>34663.124109374992</v>
      </c>
      <c r="BV18" s="250">
        <f t="shared" si="53"/>
        <v>2730.4811798437495</v>
      </c>
      <c r="BW18" s="250">
        <f t="shared" si="54"/>
        <v>37393.605289218744</v>
      </c>
      <c r="BX18" s="250">
        <f t="shared" si="55"/>
        <v>4044.2500710881245</v>
      </c>
      <c r="BZ18" s="250">
        <f t="shared" si="56"/>
        <v>0</v>
      </c>
      <c r="CA18" s="250">
        <f t="shared" si="57"/>
        <v>0</v>
      </c>
      <c r="CB18" s="250">
        <f t="shared" si="58"/>
        <v>0</v>
      </c>
      <c r="CC18" s="250">
        <f t="shared" si="59"/>
        <v>0</v>
      </c>
    </row>
    <row r="19" spans="1:82" x14ac:dyDescent="0.2">
      <c r="A19" s="28">
        <v>47392</v>
      </c>
      <c r="D19" s="3">
        <v>76625</v>
      </c>
      <c r="E19" s="3">
        <f t="shared" si="0"/>
        <v>76625</v>
      </c>
      <c r="F19" s="3">
        <v>166259</v>
      </c>
      <c r="I19" s="5">
        <f t="shared" si="1"/>
        <v>76624.999999999985</v>
      </c>
      <c r="J19" s="5">
        <f t="shared" si="2"/>
        <v>76624.999999999985</v>
      </c>
      <c r="K19" s="5">
        <f t="shared" si="3"/>
        <v>166258.99999999994</v>
      </c>
      <c r="M19" s="250">
        <f t="shared" si="4"/>
        <v>0</v>
      </c>
      <c r="N19" s="250">
        <f t="shared" si="5"/>
        <v>29849.005303671875</v>
      </c>
      <c r="O19" s="250">
        <f t="shared" si="6"/>
        <v>29849.005303671875</v>
      </c>
      <c r="P19" s="250">
        <f t="shared" si="7"/>
        <v>64765.621830775621</v>
      </c>
      <c r="R19" s="250">
        <f t="shared" si="8"/>
        <v>0</v>
      </c>
      <c r="S19" s="250">
        <f t="shared" si="9"/>
        <v>393.59001148437494</v>
      </c>
      <c r="T19" s="250">
        <f t="shared" si="10"/>
        <v>393.59001148437494</v>
      </c>
      <c r="U19" s="250">
        <f t="shared" si="11"/>
        <v>854.0017190131249</v>
      </c>
      <c r="W19" s="250">
        <f t="shared" si="12"/>
        <v>0</v>
      </c>
      <c r="X19" s="250">
        <f t="shared" si="13"/>
        <v>6694.8314657031224</v>
      </c>
      <c r="Y19" s="250">
        <f t="shared" si="14"/>
        <v>6694.8314657031224</v>
      </c>
      <c r="Z19" s="250">
        <f t="shared" si="15"/>
        <v>14526.277124389369</v>
      </c>
      <c r="AB19" s="250">
        <f t="shared" si="16"/>
        <v>0</v>
      </c>
      <c r="AC19" s="250">
        <f t="shared" si="17"/>
        <v>3805.0386946874996</v>
      </c>
      <c r="AD19" s="250">
        <f t="shared" si="18"/>
        <v>3805.0386946874996</v>
      </c>
      <c r="AE19" s="250">
        <f t="shared" si="19"/>
        <v>8256.077368222499</v>
      </c>
      <c r="AG19" s="250">
        <f t="shared" si="20"/>
        <v>0</v>
      </c>
      <c r="AH19" s="250">
        <f t="shared" si="21"/>
        <v>5539.6163955468737</v>
      </c>
      <c r="AI19" s="250">
        <f t="shared" si="22"/>
        <v>5539.6163955468737</v>
      </c>
      <c r="AJ19" s="250">
        <f t="shared" si="23"/>
        <v>12019.720486880624</v>
      </c>
      <c r="AL19" s="250">
        <f t="shared" si="24"/>
        <v>0</v>
      </c>
      <c r="AM19" s="250">
        <f t="shared" si="25"/>
        <v>645.56528976562493</v>
      </c>
      <c r="AN19" s="250">
        <f t="shared" si="26"/>
        <v>645.56528976562493</v>
      </c>
      <c r="AO19" s="250">
        <f t="shared" si="27"/>
        <v>1400.7313476168749</v>
      </c>
      <c r="AQ19" s="250">
        <f t="shared" si="28"/>
        <v>0</v>
      </c>
      <c r="AR19" s="250">
        <f t="shared" si="29"/>
        <v>1581.1866629687497</v>
      </c>
      <c r="AS19" s="250">
        <f t="shared" si="30"/>
        <v>1581.1866629687497</v>
      </c>
      <c r="AT19" s="250">
        <f t="shared" si="31"/>
        <v>3430.8190981862494</v>
      </c>
      <c r="AV19" s="250">
        <f t="shared" si="32"/>
        <v>0</v>
      </c>
      <c r="AW19" s="250">
        <f t="shared" si="33"/>
        <v>2386.6405032812499</v>
      </c>
      <c r="AX19" s="250">
        <f t="shared" si="34"/>
        <v>2386.6405032812499</v>
      </c>
      <c r="AY19" s="250">
        <f t="shared" si="35"/>
        <v>5178.4726060037492</v>
      </c>
      <c r="BA19" s="250">
        <f t="shared" si="36"/>
        <v>0</v>
      </c>
      <c r="BB19" s="250">
        <f t="shared" si="37"/>
        <v>3625.2640410156246</v>
      </c>
      <c r="BC19" s="250">
        <f t="shared" si="38"/>
        <v>3625.2640410156246</v>
      </c>
      <c r="BD19" s="250">
        <f t="shared" si="39"/>
        <v>7866.0068410468739</v>
      </c>
      <c r="BF19" s="250">
        <f t="shared" si="40"/>
        <v>0</v>
      </c>
      <c r="BG19" s="250">
        <f t="shared" si="41"/>
        <v>1560.8724176562498</v>
      </c>
      <c r="BH19" s="250">
        <f t="shared" si="42"/>
        <v>1560.8724176562498</v>
      </c>
      <c r="BI19" s="250">
        <f t="shared" si="43"/>
        <v>3386.7417590487494</v>
      </c>
      <c r="BK19" s="250">
        <f t="shared" si="44"/>
        <v>0</v>
      </c>
      <c r="BL19" s="250">
        <f t="shared" si="45"/>
        <v>5733.92125640625</v>
      </c>
      <c r="BM19" s="250">
        <f t="shared" si="46"/>
        <v>5733.92125640625</v>
      </c>
      <c r="BN19" s="250">
        <f t="shared" si="47"/>
        <v>12441.31829257875</v>
      </c>
      <c r="BP19" s="250">
        <f t="shared" si="48"/>
        <v>0</v>
      </c>
      <c r="BQ19" s="250">
        <f t="shared" si="49"/>
        <v>12945.564880703127</v>
      </c>
      <c r="BR19" s="250">
        <f t="shared" si="50"/>
        <v>12945.564880703127</v>
      </c>
      <c r="BS19" s="250">
        <f t="shared" si="51"/>
        <v>28088.96145514938</v>
      </c>
      <c r="BU19" s="250">
        <f t="shared" si="52"/>
        <v>0</v>
      </c>
      <c r="BV19" s="250">
        <f t="shared" si="53"/>
        <v>1863.9030771093746</v>
      </c>
      <c r="BW19" s="250">
        <f t="shared" si="54"/>
        <v>1863.9030771093746</v>
      </c>
      <c r="BX19" s="250">
        <f t="shared" si="55"/>
        <v>4044.2500710881245</v>
      </c>
      <c r="BZ19" s="250">
        <f t="shared" si="56"/>
        <v>0</v>
      </c>
      <c r="CA19" s="250">
        <f t="shared" si="57"/>
        <v>0</v>
      </c>
      <c r="CB19" s="250">
        <f t="shared" si="58"/>
        <v>0</v>
      </c>
      <c r="CC19" s="250">
        <f t="shared" si="59"/>
        <v>0</v>
      </c>
    </row>
    <row r="20" spans="1:82" x14ac:dyDescent="0.2">
      <c r="A20" s="28">
        <v>11049</v>
      </c>
      <c r="C20" s="3">
        <v>1495000</v>
      </c>
      <c r="D20" s="3">
        <v>76625</v>
      </c>
      <c r="E20" s="3">
        <f t="shared" si="0"/>
        <v>1571625</v>
      </c>
      <c r="F20" s="3">
        <v>166259</v>
      </c>
      <c r="H20" s="5">
        <f t="shared" si="60"/>
        <v>1494999.9999999998</v>
      </c>
      <c r="I20" s="5">
        <f t="shared" si="1"/>
        <v>76624.999999999985</v>
      </c>
      <c r="J20" s="5">
        <f t="shared" si="2"/>
        <v>1571624.9999999998</v>
      </c>
      <c r="K20" s="5">
        <f t="shared" si="3"/>
        <v>166258.99999999994</v>
      </c>
      <c r="M20" s="250">
        <f t="shared" si="4"/>
        <v>582372.11000312492</v>
      </c>
      <c r="N20" s="250">
        <f t="shared" si="5"/>
        <v>29849.005303671875</v>
      </c>
      <c r="O20" s="250">
        <f t="shared" si="6"/>
        <v>612221.11530679674</v>
      </c>
      <c r="P20" s="250">
        <f t="shared" si="7"/>
        <v>64765.621830775621</v>
      </c>
      <c r="R20" s="250">
        <f t="shared" si="8"/>
        <v>7679.178690624999</v>
      </c>
      <c r="S20" s="250">
        <f t="shared" si="9"/>
        <v>393.59001148437494</v>
      </c>
      <c r="T20" s="250">
        <f t="shared" si="10"/>
        <v>8072.7687021093743</v>
      </c>
      <c r="U20" s="250">
        <f t="shared" si="11"/>
        <v>854.0017190131249</v>
      </c>
      <c r="W20" s="250">
        <f t="shared" si="12"/>
        <v>130620.20282187496</v>
      </c>
      <c r="X20" s="250">
        <f t="shared" si="13"/>
        <v>6694.8314657031224</v>
      </c>
      <c r="Y20" s="250">
        <f t="shared" si="14"/>
        <v>137315.03428757808</v>
      </c>
      <c r="Z20" s="250">
        <f t="shared" si="15"/>
        <v>14526.277124389369</v>
      </c>
      <c r="AB20" s="250">
        <f t="shared" si="16"/>
        <v>74238.601612500002</v>
      </c>
      <c r="AC20" s="250">
        <f t="shared" si="17"/>
        <v>3805.0386946874996</v>
      </c>
      <c r="AD20" s="250">
        <f t="shared" si="18"/>
        <v>78043.640307187496</v>
      </c>
      <c r="AE20" s="250">
        <f t="shared" si="19"/>
        <v>8256.077368222499</v>
      </c>
      <c r="AG20" s="250">
        <f t="shared" si="20"/>
        <v>108081.25952812498</v>
      </c>
      <c r="AH20" s="250">
        <f t="shared" si="21"/>
        <v>5539.6163955468737</v>
      </c>
      <c r="AI20" s="250">
        <f t="shared" si="22"/>
        <v>113620.87592367186</v>
      </c>
      <c r="AJ20" s="250">
        <f t="shared" si="23"/>
        <v>12019.720486880624</v>
      </c>
      <c r="AL20" s="250">
        <f t="shared" si="24"/>
        <v>12595.368459374999</v>
      </c>
      <c r="AM20" s="250">
        <f t="shared" si="25"/>
        <v>645.56528976562493</v>
      </c>
      <c r="AN20" s="250">
        <f t="shared" si="26"/>
        <v>13240.933749140624</v>
      </c>
      <c r="AO20" s="250">
        <f t="shared" si="27"/>
        <v>1400.7313476168749</v>
      </c>
      <c r="AQ20" s="250">
        <f t="shared" si="28"/>
        <v>30849.906181249997</v>
      </c>
      <c r="AR20" s="250">
        <f t="shared" si="29"/>
        <v>1581.1866629687497</v>
      </c>
      <c r="AS20" s="250">
        <f t="shared" si="30"/>
        <v>32431.092844218747</v>
      </c>
      <c r="AT20" s="250">
        <f t="shared" si="31"/>
        <v>3430.8190981862494</v>
      </c>
      <c r="AV20" s="250">
        <f t="shared" si="32"/>
        <v>46564.796768749999</v>
      </c>
      <c r="AW20" s="250">
        <f t="shared" si="33"/>
        <v>2386.6405032812499</v>
      </c>
      <c r="AX20" s="250">
        <f t="shared" si="34"/>
        <v>48951.437272031246</v>
      </c>
      <c r="AY20" s="250">
        <f t="shared" si="35"/>
        <v>5178.4726060037492</v>
      </c>
      <c r="BA20" s="250">
        <f t="shared" si="36"/>
        <v>70731.089609374991</v>
      </c>
      <c r="BB20" s="250">
        <f t="shared" si="37"/>
        <v>3625.2640410156246</v>
      </c>
      <c r="BC20" s="250">
        <f t="shared" si="38"/>
        <v>74356.353650390622</v>
      </c>
      <c r="BD20" s="250">
        <f t="shared" si="39"/>
        <v>7866.0068410468739</v>
      </c>
      <c r="BF20" s="250">
        <f t="shared" si="40"/>
        <v>30453.562993749994</v>
      </c>
      <c r="BG20" s="250">
        <f t="shared" si="41"/>
        <v>1560.8724176562498</v>
      </c>
      <c r="BH20" s="250">
        <f t="shared" si="42"/>
        <v>32014.435411406244</v>
      </c>
      <c r="BI20" s="250">
        <f t="shared" si="43"/>
        <v>3386.7417590487494</v>
      </c>
      <c r="BK20" s="250">
        <f t="shared" si="44"/>
        <v>111872.26464375001</v>
      </c>
      <c r="BL20" s="250">
        <f t="shared" si="45"/>
        <v>5733.92125640625</v>
      </c>
      <c r="BM20" s="250">
        <f t="shared" si="46"/>
        <v>117606.18590015626</v>
      </c>
      <c r="BN20" s="250">
        <f t="shared" si="47"/>
        <v>12441.31829257875</v>
      </c>
      <c r="BP20" s="250">
        <f t="shared" si="48"/>
        <v>252575.78462187503</v>
      </c>
      <c r="BQ20" s="250">
        <f t="shared" si="49"/>
        <v>12945.564880703127</v>
      </c>
      <c r="BR20" s="250">
        <f t="shared" si="50"/>
        <v>265521.34950257814</v>
      </c>
      <c r="BS20" s="250">
        <f t="shared" si="51"/>
        <v>28088.96145514938</v>
      </c>
      <c r="BU20" s="250">
        <f t="shared" si="52"/>
        <v>36365.874065624994</v>
      </c>
      <c r="BV20" s="250">
        <f t="shared" si="53"/>
        <v>1863.9030771093746</v>
      </c>
      <c r="BW20" s="250">
        <f t="shared" si="54"/>
        <v>38229.777142734369</v>
      </c>
      <c r="BX20" s="250">
        <f t="shared" si="55"/>
        <v>4044.2500710881245</v>
      </c>
      <c r="BZ20" s="250">
        <f t="shared" si="56"/>
        <v>0</v>
      </c>
      <c r="CA20" s="250">
        <f t="shared" si="57"/>
        <v>0</v>
      </c>
      <c r="CB20" s="250">
        <f t="shared" si="58"/>
        <v>0</v>
      </c>
      <c r="CC20" s="250">
        <f t="shared" si="59"/>
        <v>0</v>
      </c>
    </row>
    <row r="21" spans="1:82" x14ac:dyDescent="0.2">
      <c r="A21" s="28">
        <v>11232</v>
      </c>
      <c r="D21" s="3">
        <v>39250</v>
      </c>
      <c r="E21" s="3">
        <f t="shared" si="0"/>
        <v>39250</v>
      </c>
      <c r="F21" s="3">
        <v>166259</v>
      </c>
      <c r="I21" s="5">
        <f t="shared" si="1"/>
        <v>39249.999999999993</v>
      </c>
      <c r="J21" s="5">
        <f t="shared" si="2"/>
        <v>39249.999999999993</v>
      </c>
      <c r="K21" s="5">
        <f t="shared" si="3"/>
        <v>166258.99999999994</v>
      </c>
      <c r="M21" s="250">
        <f t="shared" si="4"/>
        <v>0</v>
      </c>
      <c r="N21" s="250">
        <f t="shared" si="5"/>
        <v>15289.702553593748</v>
      </c>
      <c r="O21" s="250">
        <f t="shared" si="6"/>
        <v>15289.702553593748</v>
      </c>
      <c r="P21" s="250">
        <f t="shared" si="7"/>
        <v>64765.621830775621</v>
      </c>
      <c r="R21" s="250">
        <f t="shared" si="8"/>
        <v>0</v>
      </c>
      <c r="S21" s="250">
        <f t="shared" si="9"/>
        <v>201.61054421874996</v>
      </c>
      <c r="T21" s="250">
        <f t="shared" si="10"/>
        <v>201.61054421874996</v>
      </c>
      <c r="U21" s="250">
        <f t="shared" si="11"/>
        <v>854.0017190131249</v>
      </c>
      <c r="W21" s="250">
        <f t="shared" si="12"/>
        <v>0</v>
      </c>
      <c r="X21" s="250">
        <f t="shared" si="13"/>
        <v>3429.326395156249</v>
      </c>
      <c r="Y21" s="250">
        <f t="shared" si="14"/>
        <v>3429.326395156249</v>
      </c>
      <c r="Z21" s="250">
        <f t="shared" si="15"/>
        <v>14526.277124389369</v>
      </c>
      <c r="AB21" s="250">
        <f t="shared" si="16"/>
        <v>0</v>
      </c>
      <c r="AC21" s="250">
        <f t="shared" si="17"/>
        <v>1949.0736543749999</v>
      </c>
      <c r="AD21" s="250">
        <f t="shared" si="18"/>
        <v>1949.0736543749999</v>
      </c>
      <c r="AE21" s="250">
        <f t="shared" si="19"/>
        <v>8256.077368222499</v>
      </c>
      <c r="AG21" s="250">
        <f t="shared" si="20"/>
        <v>0</v>
      </c>
      <c r="AH21" s="250">
        <f t="shared" si="21"/>
        <v>2837.5849073437494</v>
      </c>
      <c r="AI21" s="250">
        <f t="shared" si="22"/>
        <v>2837.5849073437494</v>
      </c>
      <c r="AJ21" s="250">
        <f t="shared" si="23"/>
        <v>12019.720486880624</v>
      </c>
      <c r="AL21" s="250">
        <f t="shared" si="24"/>
        <v>0</v>
      </c>
      <c r="AM21" s="250">
        <f t="shared" si="25"/>
        <v>330.68107828124994</v>
      </c>
      <c r="AN21" s="250">
        <f t="shared" si="26"/>
        <v>330.68107828124994</v>
      </c>
      <c r="AO21" s="250">
        <f t="shared" si="27"/>
        <v>1400.7313476168749</v>
      </c>
      <c r="AQ21" s="250">
        <f t="shared" si="28"/>
        <v>0</v>
      </c>
      <c r="AR21" s="250">
        <f t="shared" si="29"/>
        <v>809.93900843749987</v>
      </c>
      <c r="AS21" s="250">
        <f t="shared" si="30"/>
        <v>809.93900843749987</v>
      </c>
      <c r="AT21" s="250">
        <f t="shared" si="31"/>
        <v>3430.8190981862494</v>
      </c>
      <c r="AV21" s="250">
        <f t="shared" si="32"/>
        <v>0</v>
      </c>
      <c r="AW21" s="250">
        <f t="shared" si="33"/>
        <v>1222.5205840624999</v>
      </c>
      <c r="AX21" s="250">
        <f t="shared" si="34"/>
        <v>1222.5205840624999</v>
      </c>
      <c r="AY21" s="250">
        <f t="shared" si="35"/>
        <v>5178.4726060037492</v>
      </c>
      <c r="BA21" s="250">
        <f t="shared" si="36"/>
        <v>0</v>
      </c>
      <c r="BB21" s="250">
        <f t="shared" si="37"/>
        <v>1856.9868007812497</v>
      </c>
      <c r="BC21" s="250">
        <f t="shared" si="38"/>
        <v>1856.9868007812497</v>
      </c>
      <c r="BD21" s="250">
        <f t="shared" si="39"/>
        <v>7866.0068410468739</v>
      </c>
      <c r="BF21" s="250">
        <f t="shared" si="40"/>
        <v>0</v>
      </c>
      <c r="BG21" s="250">
        <f t="shared" si="41"/>
        <v>799.53334281249988</v>
      </c>
      <c r="BH21" s="250">
        <f t="shared" si="42"/>
        <v>799.53334281249988</v>
      </c>
      <c r="BI21" s="250">
        <f t="shared" si="43"/>
        <v>3386.7417590487494</v>
      </c>
      <c r="BK21" s="250">
        <f t="shared" si="44"/>
        <v>0</v>
      </c>
      <c r="BL21" s="250">
        <f t="shared" si="45"/>
        <v>2937.1146403124999</v>
      </c>
      <c r="BM21" s="250">
        <f t="shared" si="46"/>
        <v>2937.1146403124999</v>
      </c>
      <c r="BN21" s="250">
        <f t="shared" si="47"/>
        <v>12441.31829257875</v>
      </c>
      <c r="BP21" s="250">
        <f t="shared" si="48"/>
        <v>0</v>
      </c>
      <c r="BQ21" s="250">
        <f t="shared" si="49"/>
        <v>6631.1702651562509</v>
      </c>
      <c r="BR21" s="250">
        <f t="shared" si="50"/>
        <v>6631.1702651562509</v>
      </c>
      <c r="BS21" s="250">
        <f t="shared" si="51"/>
        <v>28088.96145514938</v>
      </c>
      <c r="BU21" s="250">
        <f t="shared" si="52"/>
        <v>0</v>
      </c>
      <c r="BV21" s="250">
        <f t="shared" si="53"/>
        <v>954.7562254687499</v>
      </c>
      <c r="BW21" s="250">
        <f t="shared" si="54"/>
        <v>954.7562254687499</v>
      </c>
      <c r="BX21" s="250">
        <f t="shared" si="55"/>
        <v>4044.2500710881245</v>
      </c>
      <c r="BZ21" s="250">
        <f t="shared" si="56"/>
        <v>0</v>
      </c>
      <c r="CA21" s="250">
        <f t="shared" si="57"/>
        <v>0</v>
      </c>
      <c r="CB21" s="250">
        <f t="shared" si="58"/>
        <v>0</v>
      </c>
      <c r="CC21" s="250">
        <f t="shared" si="59"/>
        <v>0</v>
      </c>
    </row>
    <row r="22" spans="1:82" x14ac:dyDescent="0.2">
      <c r="A22" s="28">
        <v>11414</v>
      </c>
      <c r="C22" s="3">
        <v>1570000</v>
      </c>
      <c r="D22" s="3">
        <v>39250</v>
      </c>
      <c r="E22" s="3">
        <f t="shared" si="0"/>
        <v>1609250</v>
      </c>
      <c r="F22" s="3">
        <v>166259</v>
      </c>
      <c r="H22" s="5">
        <f t="shared" si="60"/>
        <v>1570000</v>
      </c>
      <c r="I22" s="5">
        <f t="shared" si="1"/>
        <v>39249.999999999993</v>
      </c>
      <c r="J22" s="5">
        <f t="shared" si="2"/>
        <v>1609250</v>
      </c>
      <c r="K22" s="5">
        <f t="shared" si="3"/>
        <v>166258.99999999994</v>
      </c>
      <c r="M22" s="250">
        <f t="shared" si="4"/>
        <v>611588.10214374994</v>
      </c>
      <c r="N22" s="250">
        <f t="shared" si="5"/>
        <v>15289.702553593748</v>
      </c>
      <c r="O22" s="250">
        <f t="shared" si="6"/>
        <v>626877.80469734373</v>
      </c>
      <c r="P22" s="250">
        <f t="shared" si="7"/>
        <v>64765.621830775621</v>
      </c>
      <c r="R22" s="250">
        <f t="shared" si="8"/>
        <v>8064.4217687499995</v>
      </c>
      <c r="S22" s="250">
        <f t="shared" si="9"/>
        <v>201.61054421874996</v>
      </c>
      <c r="T22" s="250">
        <f t="shared" si="10"/>
        <v>8266.0323129687495</v>
      </c>
      <c r="U22" s="250">
        <f t="shared" si="11"/>
        <v>854.0017190131249</v>
      </c>
      <c r="W22" s="250">
        <f t="shared" si="12"/>
        <v>137173.05580624996</v>
      </c>
      <c r="X22" s="250">
        <f t="shared" si="13"/>
        <v>3429.326395156249</v>
      </c>
      <c r="Y22" s="250">
        <f t="shared" si="14"/>
        <v>140602.3822014062</v>
      </c>
      <c r="Z22" s="250">
        <f t="shared" si="15"/>
        <v>14526.277124389369</v>
      </c>
      <c r="AB22" s="250">
        <f t="shared" si="16"/>
        <v>77962.94617499999</v>
      </c>
      <c r="AC22" s="250">
        <f t="shared" si="17"/>
        <v>1949.0736543749999</v>
      </c>
      <c r="AD22" s="250">
        <f t="shared" si="18"/>
        <v>79912.019829374985</v>
      </c>
      <c r="AE22" s="250">
        <f t="shared" si="19"/>
        <v>8256.077368222499</v>
      </c>
      <c r="AG22" s="250">
        <f t="shared" si="20"/>
        <v>113503.39629374997</v>
      </c>
      <c r="AH22" s="250">
        <f t="shared" si="21"/>
        <v>2837.5849073437494</v>
      </c>
      <c r="AI22" s="250">
        <f t="shared" si="22"/>
        <v>116340.98120109373</v>
      </c>
      <c r="AJ22" s="250">
        <f t="shared" si="23"/>
        <v>12019.720486880624</v>
      </c>
      <c r="AL22" s="250">
        <f t="shared" si="24"/>
        <v>13227.243131249999</v>
      </c>
      <c r="AM22" s="250">
        <f t="shared" si="25"/>
        <v>330.68107828124994</v>
      </c>
      <c r="AN22" s="250">
        <f t="shared" si="26"/>
        <v>13557.924209531249</v>
      </c>
      <c r="AO22" s="250">
        <f t="shared" si="27"/>
        <v>1400.7313476168749</v>
      </c>
      <c r="AQ22" s="250">
        <f t="shared" si="28"/>
        <v>32397.560337499996</v>
      </c>
      <c r="AR22" s="250">
        <f t="shared" si="29"/>
        <v>809.93900843749987</v>
      </c>
      <c r="AS22" s="250">
        <f t="shared" si="30"/>
        <v>33207.499345937496</v>
      </c>
      <c r="AT22" s="250">
        <f t="shared" si="31"/>
        <v>3430.8190981862494</v>
      </c>
      <c r="AV22" s="250">
        <f t="shared" si="32"/>
        <v>48900.823362499992</v>
      </c>
      <c r="AW22" s="250">
        <f t="shared" si="33"/>
        <v>1222.5205840624999</v>
      </c>
      <c r="AX22" s="250">
        <f t="shared" si="34"/>
        <v>50123.343946562491</v>
      </c>
      <c r="AY22" s="250">
        <f t="shared" si="35"/>
        <v>5178.4726060037492</v>
      </c>
      <c r="BA22" s="250">
        <f t="shared" si="36"/>
        <v>74279.472031249985</v>
      </c>
      <c r="BB22" s="250">
        <f t="shared" si="37"/>
        <v>1856.9868007812497</v>
      </c>
      <c r="BC22" s="250">
        <f t="shared" si="38"/>
        <v>76136.458832031232</v>
      </c>
      <c r="BD22" s="250">
        <f t="shared" si="39"/>
        <v>7866.0068410468739</v>
      </c>
      <c r="BF22" s="250">
        <f t="shared" si="40"/>
        <v>31981.333712499993</v>
      </c>
      <c r="BG22" s="250">
        <f t="shared" si="41"/>
        <v>799.53334281249988</v>
      </c>
      <c r="BH22" s="250">
        <f t="shared" si="42"/>
        <v>32780.86705531249</v>
      </c>
      <c r="BI22" s="250">
        <f t="shared" si="43"/>
        <v>3386.7417590487494</v>
      </c>
      <c r="BK22" s="250">
        <f t="shared" si="44"/>
        <v>117484.5856125</v>
      </c>
      <c r="BL22" s="250">
        <f t="shared" si="45"/>
        <v>2937.1146403124999</v>
      </c>
      <c r="BM22" s="250">
        <f t="shared" si="46"/>
        <v>120421.7002528125</v>
      </c>
      <c r="BN22" s="250">
        <f t="shared" si="47"/>
        <v>12441.31829257875</v>
      </c>
      <c r="BP22" s="250">
        <f t="shared" si="48"/>
        <v>265246.81060625002</v>
      </c>
      <c r="BQ22" s="250">
        <f t="shared" si="49"/>
        <v>6631.1702651562509</v>
      </c>
      <c r="BR22" s="250">
        <f t="shared" si="50"/>
        <v>271877.98087140627</v>
      </c>
      <c r="BS22" s="250">
        <f t="shared" si="51"/>
        <v>28088.96145514938</v>
      </c>
      <c r="BU22" s="250">
        <f t="shared" si="52"/>
        <v>38190.249018749993</v>
      </c>
      <c r="BV22" s="250">
        <f t="shared" si="53"/>
        <v>954.7562254687499</v>
      </c>
      <c r="BW22" s="250">
        <f t="shared" si="54"/>
        <v>39145.005244218744</v>
      </c>
      <c r="BX22" s="250">
        <f t="shared" si="55"/>
        <v>4044.2500710881245</v>
      </c>
      <c r="BZ22" s="250">
        <f t="shared" si="56"/>
        <v>0</v>
      </c>
      <c r="CA22" s="250">
        <f t="shared" si="57"/>
        <v>0</v>
      </c>
      <c r="CB22" s="250">
        <f t="shared" si="58"/>
        <v>0</v>
      </c>
      <c r="CC22" s="250">
        <f t="shared" si="59"/>
        <v>0</v>
      </c>
    </row>
    <row r="23" spans="1:82" x14ac:dyDescent="0.2"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T23"/>
      <c r="AU23"/>
      <c r="AV23"/>
      <c r="AW23"/>
      <c r="AY23"/>
      <c r="AZ23"/>
      <c r="BA23"/>
      <c r="BB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</row>
    <row r="24" spans="1:82" ht="13.5" thickBot="1" x14ac:dyDescent="0.25">
      <c r="A24" s="30" t="s">
        <v>4</v>
      </c>
      <c r="C24" s="31">
        <f>SUM(C9:C23)</f>
        <v>9545000</v>
      </c>
      <c r="D24" s="31">
        <f>SUM(D9:D23)</f>
        <v>2001250</v>
      </c>
      <c r="E24" s="31">
        <f>SUM(E9:E23)</f>
        <v>11546250</v>
      </c>
      <c r="F24" s="31">
        <f>SUM(F9:F23)</f>
        <v>2327626</v>
      </c>
      <c r="H24" s="31">
        <f>SUM(H9:H23)</f>
        <v>9545000</v>
      </c>
      <c r="I24" s="31">
        <f>SUM(I9:I23)-1</f>
        <v>2001248.9999999998</v>
      </c>
      <c r="J24" s="31">
        <f>SUM(J9:J23)</f>
        <v>11546250</v>
      </c>
      <c r="K24" s="31">
        <f>SUM(K9:K23)</f>
        <v>2327625.9999999995</v>
      </c>
      <c r="M24" s="31">
        <f>SUM(M9:M23)</f>
        <v>3718221.933096875</v>
      </c>
      <c r="N24" s="31">
        <f>SUM(N9:N23)</f>
        <v>779580.05695234379</v>
      </c>
      <c r="O24" s="31">
        <f>SUM(O9:O23)</f>
        <v>4497801.9900492188</v>
      </c>
      <c r="P24" s="31">
        <f>SUM(P9:P23)</f>
        <v>906718.70563085878</v>
      </c>
      <c r="Q24" s="3"/>
      <c r="R24" s="31">
        <f>SUM(R9:R23)</f>
        <v>49028.602409374995</v>
      </c>
      <c r="S24" s="31">
        <f>SUM(S9:S23)</f>
        <v>10279.569467968751</v>
      </c>
      <c r="T24" s="31">
        <f>SUM(T9:T23)</f>
        <v>59308.171877343746</v>
      </c>
      <c r="U24" s="31">
        <f>SUM(U9:U23)</f>
        <v>11956.024066183752</v>
      </c>
      <c r="W24" s="31">
        <f>SUM(W9:W23)</f>
        <v>833959.75647812476</v>
      </c>
      <c r="X24" s="31">
        <f>SUM(X9:X23)</f>
        <v>174851.96046640613</v>
      </c>
      <c r="Y24" s="31">
        <f>SUM(Y9:Y23)</f>
        <v>1008811.7169445308</v>
      </c>
      <c r="Z24" s="31">
        <f>SUM(Z9:Z23)</f>
        <v>203367.87974145115</v>
      </c>
      <c r="AB24" s="31">
        <f>SUM(AB9:AB23)</f>
        <v>473984.91798750003</v>
      </c>
      <c r="AC24" s="31">
        <f>SUM(AC9:AC23)</f>
        <v>99377.927409374985</v>
      </c>
      <c r="AD24" s="31">
        <f>SUM(AD9:AD23)</f>
        <v>573362.84539687494</v>
      </c>
      <c r="AE24" s="31">
        <f>SUM(AE9:AE23)</f>
        <v>115585.08315511497</v>
      </c>
      <c r="AG24" s="31">
        <f>SUM(AG9:AG23)</f>
        <v>690057.27237187489</v>
      </c>
      <c r="AH24" s="31">
        <f>SUM(AH9:AH23)</f>
        <v>144680.68269609375</v>
      </c>
      <c r="AI24" s="31">
        <f>SUM(AI9:AI23)</f>
        <v>834737.95506796858</v>
      </c>
      <c r="AJ24" s="31">
        <f>SUM(AJ9:AJ23)</f>
        <v>168276.08681632878</v>
      </c>
      <c r="AL24" s="31">
        <f>SUM(AL9:AL23)</f>
        <v>80416.583240624983</v>
      </c>
      <c r="AM24" s="31">
        <f>SUM(AM9:AM23)</f>
        <v>16860.522494531248</v>
      </c>
      <c r="AN24" s="31">
        <f>SUM(AN9:AN23)</f>
        <v>97277.105735156234</v>
      </c>
      <c r="AO24" s="31">
        <f>SUM(AO9:AO23)</f>
        <v>19610.238866636249</v>
      </c>
      <c r="AQ24" s="31">
        <f>SUM(AQ9:AQ23)</f>
        <v>196964.78561875</v>
      </c>
      <c r="AR24" s="31">
        <f>SUM(AR9:AR23)</f>
        <v>41296.571735937498</v>
      </c>
      <c r="AS24" s="31">
        <f>SUM(AS9:AS23)</f>
        <v>238261.35735468747</v>
      </c>
      <c r="AT24" s="31">
        <f>SUM(AT9:AT23)</f>
        <v>48031.467374607491</v>
      </c>
      <c r="AV24" s="31">
        <f>SUM(AV9:AV23)</f>
        <v>297298.31783124997</v>
      </c>
      <c r="AW24" s="31">
        <f>SUM(AW9:AW23)</f>
        <v>62332.976276562484</v>
      </c>
      <c r="AX24" s="31">
        <f>SUM(AX9:AX23)</f>
        <v>359631.29410781246</v>
      </c>
      <c r="AY24" s="31">
        <f>SUM(AY9:AY23)</f>
        <v>72498.616484052487</v>
      </c>
      <c r="BA24" s="31">
        <f>SUM(BA9:BA23)</f>
        <v>451590.80289062497</v>
      </c>
      <c r="BB24" s="31">
        <f>SUM(BB9:BB23)</f>
        <v>94682.670957031238</v>
      </c>
      <c r="BC24" s="31">
        <f>SUM(BC9:BC23)</f>
        <v>546273.47384765628</v>
      </c>
      <c r="BD24" s="31">
        <f>SUM(BD9:BD23)</f>
        <v>110124.09577465628</v>
      </c>
      <c r="BF24" s="31">
        <f>SUM(BF9:BF23)</f>
        <v>194434.28680624999</v>
      </c>
      <c r="BG24" s="31">
        <f>SUM(BG9:BG23)</f>
        <v>40766.01534531248</v>
      </c>
      <c r="BH24" s="31">
        <f>SUM(BH9:BH23)</f>
        <v>235200.30215156244</v>
      </c>
      <c r="BI24" s="31">
        <f>SUM(BI9:BI23)</f>
        <v>47414.384626682484</v>
      </c>
      <c r="BK24" s="31">
        <f>SUM(BK9:BK23)</f>
        <v>714261.38195625006</v>
      </c>
      <c r="BL24" s="31">
        <f>SUM(BL9:BL23)</f>
        <v>149755.43118281252</v>
      </c>
      <c r="BM24" s="31">
        <f>SUM(BM9:BM23)</f>
        <v>864016.81313906249</v>
      </c>
      <c r="BN24" s="31">
        <f>SUM(BN9:BN23)</f>
        <v>174178.45609610248</v>
      </c>
      <c r="BP24" s="31">
        <f>SUM(BP9:BP23)</f>
        <v>1612599.2402781253</v>
      </c>
      <c r="BQ24" s="31">
        <f>SUM(BQ9:BQ23)</f>
        <v>338105.2100164062</v>
      </c>
      <c r="BR24" s="31">
        <f>SUM(BR9:BR23)</f>
        <v>1950704.4502945314</v>
      </c>
      <c r="BS24" s="31">
        <f>SUM(BS9:BS23)</f>
        <v>393245.46037209139</v>
      </c>
      <c r="BU24" s="31">
        <f>SUM(BU9:BU23)</f>
        <v>232182.11903437495</v>
      </c>
      <c r="BV24" s="31">
        <f>SUM(BV9:BV23)</f>
        <v>48680.404999218743</v>
      </c>
      <c r="BW24" s="31">
        <f>SUM(BW9:BW23)</f>
        <v>280862.52403359371</v>
      </c>
      <c r="BX24" s="31">
        <f>SUM(BX9:BX23)</f>
        <v>56619.500995233728</v>
      </c>
      <c r="BZ24" s="31">
        <f>SUM(BZ9:BZ23)</f>
        <v>0</v>
      </c>
      <c r="CA24" s="31">
        <f>SUM(CA9:CA23)</f>
        <v>0</v>
      </c>
      <c r="CB24" s="31">
        <f>SUM(CB9:CB23)</f>
        <v>0</v>
      </c>
      <c r="CC24" s="31">
        <f>SUM(CC9:CC23)</f>
        <v>0</v>
      </c>
    </row>
    <row r="25" spans="1:82" ht="13.5" thickTop="1" x14ac:dyDescent="0.2">
      <c r="C25"/>
      <c r="D25"/>
      <c r="E25"/>
      <c r="F25"/>
    </row>
    <row r="26" spans="1:82" x14ac:dyDescent="0.2">
      <c r="C26"/>
      <c r="D26"/>
      <c r="E26"/>
      <c r="F26"/>
    </row>
    <row r="27" spans="1:82" x14ac:dyDescent="0.2">
      <c r="C27"/>
      <c r="D27"/>
      <c r="E27"/>
      <c r="F27"/>
    </row>
    <row r="28" spans="1:82" x14ac:dyDescent="0.2">
      <c r="C28"/>
      <c r="D28"/>
      <c r="E28"/>
      <c r="F28"/>
    </row>
    <row r="29" spans="1:82" x14ac:dyDescent="0.2">
      <c r="C29"/>
      <c r="D29"/>
      <c r="E29"/>
      <c r="F29"/>
    </row>
    <row r="30" spans="1:82" x14ac:dyDescent="0.2">
      <c r="C30"/>
      <c r="D30"/>
      <c r="E30"/>
      <c r="F30"/>
    </row>
    <row r="64" spans="1:1" x14ac:dyDescent="0.2">
      <c r="A64" s="30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</sheetData>
  <pageMargins left="0.7" right="0.68" top="0.75" bottom="0.45" header="0.3" footer="0.3"/>
  <pageSetup scale="85" orientation="landscape" r:id="rId1"/>
  <colBreaks count="4" manualBreakCount="4">
    <brk id="32" max="1048575" man="1"/>
    <brk id="47" max="1048575" man="1"/>
    <brk id="62" max="1048575" man="1"/>
    <brk id="7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419B6-CE39-41CA-8FCC-1EA629ED528A}">
  <sheetPr>
    <tabColor rgb="FFFFC000"/>
  </sheetPr>
  <dimension ref="A1:M109"/>
  <sheetViews>
    <sheetView workbookViewId="0">
      <selection activeCell="B12" sqref="B12"/>
    </sheetView>
  </sheetViews>
  <sheetFormatPr defaultRowHeight="12.75" x14ac:dyDescent="0.2"/>
  <cols>
    <col min="2" max="2" width="9.85546875" customWidth="1"/>
    <col min="3" max="3" width="12.28515625" customWidth="1"/>
    <col min="4" max="4" width="16" customWidth="1"/>
    <col min="6" max="6" width="9.85546875" customWidth="1"/>
    <col min="7" max="7" width="12.28515625" customWidth="1"/>
    <col min="8" max="8" width="16" customWidth="1"/>
    <col min="9" max="9" width="12.28515625" customWidth="1"/>
    <col min="10" max="10" width="10.28515625" customWidth="1"/>
    <col min="11" max="11" width="9.85546875" customWidth="1"/>
    <col min="12" max="12" width="12.28515625" customWidth="1"/>
    <col min="13" max="13" width="16" customWidth="1"/>
    <col min="15" max="15" width="9.85546875" customWidth="1"/>
    <col min="16" max="16" width="12.28515625" customWidth="1"/>
    <col min="17" max="17" width="16" customWidth="1"/>
  </cols>
  <sheetData>
    <row r="1" spans="1:13" x14ac:dyDescent="0.2">
      <c r="A1" s="147" t="s">
        <v>168</v>
      </c>
      <c r="C1" s="5"/>
      <c r="D1" s="7"/>
    </row>
    <row r="2" spans="1:13" x14ac:dyDescent="0.2">
      <c r="A2" s="147" t="s">
        <v>169</v>
      </c>
      <c r="C2" s="5"/>
      <c r="D2" s="7"/>
    </row>
    <row r="3" spans="1:13" x14ac:dyDescent="0.2">
      <c r="A3" s="147" t="s">
        <v>170</v>
      </c>
      <c r="C3" s="5"/>
      <c r="D3" s="7"/>
    </row>
    <row r="4" spans="1:13" x14ac:dyDescent="0.2">
      <c r="A4" s="148" t="s">
        <v>178</v>
      </c>
    </row>
    <row r="5" spans="1:13" x14ac:dyDescent="0.2">
      <c r="A5" s="148"/>
    </row>
    <row r="6" spans="1:13" ht="15" x14ac:dyDescent="0.25">
      <c r="A6" s="149" t="s">
        <v>177</v>
      </c>
    </row>
    <row r="9" spans="1:13" x14ac:dyDescent="0.2">
      <c r="B9" s="170" t="s">
        <v>176</v>
      </c>
      <c r="C9" s="136"/>
      <c r="D9" s="136"/>
      <c r="E9" s="5"/>
      <c r="F9" s="5"/>
      <c r="G9" s="170" t="s">
        <v>176</v>
      </c>
      <c r="H9" s="136"/>
      <c r="I9" s="136"/>
      <c r="J9" s="5"/>
      <c r="K9" s="170" t="s">
        <v>176</v>
      </c>
      <c r="L9" s="136"/>
      <c r="M9" s="136"/>
    </row>
    <row r="10" spans="1:13" x14ac:dyDescent="0.2">
      <c r="B10" s="136"/>
      <c r="C10" s="136"/>
      <c r="D10" s="135" t="s">
        <v>165</v>
      </c>
      <c r="E10" s="5"/>
      <c r="F10" s="5"/>
      <c r="G10" s="136"/>
      <c r="H10" s="136"/>
      <c r="I10" s="135" t="s">
        <v>165</v>
      </c>
      <c r="J10" s="5"/>
      <c r="K10" s="136"/>
      <c r="L10" s="136"/>
      <c r="M10" s="135" t="s">
        <v>165</v>
      </c>
    </row>
    <row r="11" spans="1:13" x14ac:dyDescent="0.2">
      <c r="A11" s="9" t="s">
        <v>0</v>
      </c>
      <c r="B11" s="142" t="s">
        <v>130</v>
      </c>
      <c r="C11" s="143"/>
      <c r="D11" s="144"/>
      <c r="E11" s="5"/>
      <c r="F11" s="3"/>
      <c r="G11" s="142" t="s">
        <v>131</v>
      </c>
      <c r="H11" s="143"/>
      <c r="I11" s="144"/>
      <c r="J11" s="5"/>
      <c r="K11" s="142" t="s">
        <v>132</v>
      </c>
      <c r="L11" s="143"/>
      <c r="M11" s="144"/>
    </row>
    <row r="12" spans="1:13" x14ac:dyDescent="0.2">
      <c r="A12" s="18" t="s">
        <v>1</v>
      </c>
      <c r="B12" s="137">
        <v>4.6408340205479452E-2</v>
      </c>
      <c r="C12" s="114">
        <v>5.3141342465753423E-2</v>
      </c>
      <c r="D12" s="138">
        <v>5.3150684931506847E-2</v>
      </c>
      <c r="E12" s="5"/>
      <c r="F12" s="55"/>
      <c r="G12" s="137">
        <v>7.0360400000000003E-2</v>
      </c>
      <c r="H12" s="114">
        <v>0.15466060000000001</v>
      </c>
      <c r="I12" s="138">
        <v>0.16130140000000001</v>
      </c>
      <c r="J12" s="5"/>
      <c r="K12" s="137">
        <v>1.5668600000000001E-2</v>
      </c>
      <c r="L12" s="114">
        <v>1.8502899999999999E-2</v>
      </c>
      <c r="M12" s="138">
        <v>2.02699E-2</v>
      </c>
    </row>
    <row r="13" spans="1:13" x14ac:dyDescent="0.2">
      <c r="A13" s="18"/>
      <c r="B13" s="137"/>
      <c r="C13" s="139"/>
      <c r="D13" s="138"/>
      <c r="E13" s="5"/>
      <c r="F13" s="55"/>
      <c r="G13" s="137"/>
      <c r="H13" s="139"/>
      <c r="I13" s="138"/>
      <c r="J13" s="5"/>
      <c r="K13" s="137"/>
      <c r="L13" s="139"/>
      <c r="M13" s="138"/>
    </row>
    <row r="14" spans="1:13" x14ac:dyDescent="0.2">
      <c r="A14" s="24"/>
      <c r="B14" s="140" t="s">
        <v>2</v>
      </c>
      <c r="C14" s="140" t="s">
        <v>3</v>
      </c>
      <c r="D14" s="140" t="s">
        <v>4</v>
      </c>
      <c r="E14" s="5"/>
      <c r="F14" s="60"/>
      <c r="G14" s="140" t="s">
        <v>2</v>
      </c>
      <c r="H14" s="140" t="s">
        <v>3</v>
      </c>
      <c r="I14" s="140" t="s">
        <v>4</v>
      </c>
      <c r="J14" s="5"/>
      <c r="K14" s="140" t="s">
        <v>2</v>
      </c>
      <c r="L14" s="140" t="s">
        <v>3</v>
      </c>
      <c r="M14" s="140" t="s">
        <v>4</v>
      </c>
    </row>
    <row r="15" spans="1:13" x14ac:dyDescent="0.2">
      <c r="A15" s="28">
        <v>44470</v>
      </c>
      <c r="B15" s="141"/>
      <c r="C15" s="141">
        <v>141192.7342411507</v>
      </c>
      <c r="D15" s="141">
        <v>141192.7342411507</v>
      </c>
      <c r="E15" s="5"/>
      <c r="F15" s="5"/>
      <c r="G15" s="141"/>
      <c r="H15" s="141">
        <v>214064.48096000002</v>
      </c>
      <c r="I15" s="141">
        <v>214064.48096000002</v>
      </c>
      <c r="J15" s="5"/>
      <c r="K15" s="141"/>
      <c r="L15" s="141">
        <v>47670.148640000007</v>
      </c>
      <c r="M15" s="141">
        <v>47670.148640000007</v>
      </c>
    </row>
    <row r="16" spans="1:13" x14ac:dyDescent="0.2">
      <c r="A16" s="28">
        <v>44652</v>
      </c>
      <c r="B16" s="136">
        <v>164738.1616438356</v>
      </c>
      <c r="C16" s="136">
        <v>134110.14891369862</v>
      </c>
      <c r="D16" s="136">
        <v>298848.31055753422</v>
      </c>
      <c r="E16" s="5"/>
      <c r="F16" s="5"/>
      <c r="G16" s="136">
        <v>479447.86000000004</v>
      </c>
      <c r="H16" s="136">
        <v>390309.22319000005</v>
      </c>
      <c r="I16" s="136">
        <v>869757.08319000015</v>
      </c>
      <c r="J16" s="5"/>
      <c r="K16" s="136">
        <v>57358.99</v>
      </c>
      <c r="L16" s="136">
        <v>46694.843584999995</v>
      </c>
      <c r="M16" s="136">
        <v>104053.83358499999</v>
      </c>
    </row>
    <row r="17" spans="1:13" x14ac:dyDescent="0.2">
      <c r="A17" s="28">
        <v>44835</v>
      </c>
      <c r="B17" s="136"/>
      <c r="C17" s="136">
        <v>130014.54794520547</v>
      </c>
      <c r="D17" s="136">
        <v>130014.54794520547</v>
      </c>
      <c r="E17" s="5"/>
      <c r="F17" s="5"/>
      <c r="G17" s="136"/>
      <c r="H17" s="136">
        <v>394567.41961000004</v>
      </c>
      <c r="I17" s="136">
        <v>394567.41961000004</v>
      </c>
      <c r="J17" s="5"/>
      <c r="K17" s="136"/>
      <c r="L17" s="136">
        <v>49583.215884999998</v>
      </c>
      <c r="M17" s="136">
        <v>49583.215884999998</v>
      </c>
    </row>
    <row r="18" spans="1:13" x14ac:dyDescent="0.2">
      <c r="A18" s="28">
        <v>45017</v>
      </c>
      <c r="B18" s="145"/>
      <c r="C18" s="145"/>
      <c r="D18" s="145">
        <v>0</v>
      </c>
      <c r="E18" s="5"/>
      <c r="F18" s="5"/>
      <c r="G18" s="145"/>
      <c r="H18" s="145"/>
      <c r="I18" s="145">
        <v>0</v>
      </c>
      <c r="J18" s="5"/>
      <c r="K18" s="145"/>
      <c r="L18" s="145"/>
      <c r="M18" s="145">
        <v>0</v>
      </c>
    </row>
    <row r="19" spans="1:13" x14ac:dyDescent="0.2">
      <c r="B19" s="146">
        <f>SUM(B15:B18)</f>
        <v>164738.1616438356</v>
      </c>
      <c r="C19" s="146">
        <f>SUM(C15:C18)</f>
        <v>405317.43110005476</v>
      </c>
      <c r="D19" s="146">
        <f>SUM(D15:D18)</f>
        <v>570055.59274389036</v>
      </c>
      <c r="G19" s="146">
        <f>SUM(G15:G18)</f>
        <v>479447.86000000004</v>
      </c>
      <c r="H19" s="146">
        <f>SUM(H15:H18)</f>
        <v>998941.1237600001</v>
      </c>
      <c r="I19" s="146">
        <f>SUM(I15:I18)</f>
        <v>1478388.9837600002</v>
      </c>
      <c r="K19" s="146">
        <f>SUM(K15:K18)</f>
        <v>57358.99</v>
      </c>
      <c r="L19" s="146">
        <f>SUM(L15:L18)</f>
        <v>143948.20811000001</v>
      </c>
      <c r="M19" s="146">
        <f>SUM(M15:M18)</f>
        <v>201307.19811</v>
      </c>
    </row>
    <row r="23" spans="1:13" ht="15" x14ac:dyDescent="0.25">
      <c r="A23" s="149" t="s">
        <v>200</v>
      </c>
    </row>
    <row r="25" spans="1:13" x14ac:dyDescent="0.2">
      <c r="B25" s="152" t="s">
        <v>164</v>
      </c>
      <c r="C25" s="152"/>
      <c r="D25" s="156" t="s">
        <v>2</v>
      </c>
      <c r="E25" s="154">
        <f>B36</f>
        <v>63974.66135616439</v>
      </c>
    </row>
    <row r="26" spans="1:13" x14ac:dyDescent="0.2">
      <c r="B26" s="152"/>
      <c r="C26" s="152"/>
      <c r="D26" s="157" t="s">
        <v>3</v>
      </c>
      <c r="E26" s="155">
        <f>C36</f>
        <v>164130.12804791779</v>
      </c>
    </row>
    <row r="27" spans="1:13" x14ac:dyDescent="0.2">
      <c r="B27" s="136"/>
      <c r="C27" s="136"/>
      <c r="D27" s="135" t="s">
        <v>166</v>
      </c>
    </row>
    <row r="28" spans="1:13" x14ac:dyDescent="0.2">
      <c r="A28" s="9" t="s">
        <v>0</v>
      </c>
      <c r="B28" s="142" t="s">
        <v>167</v>
      </c>
      <c r="C28" s="143"/>
      <c r="D28" s="144"/>
    </row>
    <row r="29" spans="1:13" x14ac:dyDescent="0.2">
      <c r="A29" s="18" t="s">
        <v>1</v>
      </c>
      <c r="B29" s="137">
        <v>2.0236795753424658E-2</v>
      </c>
      <c r="C29" s="114">
        <v>2.0636987534246577E-2</v>
      </c>
      <c r="D29" s="138">
        <v>2.0636987534246577E-2</v>
      </c>
    </row>
    <row r="30" spans="1:13" x14ac:dyDescent="0.2">
      <c r="A30" s="18"/>
      <c r="B30" s="137"/>
      <c r="C30" s="139"/>
      <c r="D30" s="138"/>
    </row>
    <row r="31" spans="1:13" x14ac:dyDescent="0.2">
      <c r="A31" s="24"/>
      <c r="B31" s="140" t="s">
        <v>2</v>
      </c>
      <c r="C31" s="140" t="s">
        <v>3</v>
      </c>
      <c r="D31" s="140" t="s">
        <v>4</v>
      </c>
    </row>
    <row r="32" spans="1:13" x14ac:dyDescent="0.2">
      <c r="A32" s="28">
        <v>44470</v>
      </c>
      <c r="B32" s="141"/>
      <c r="C32" s="141">
        <v>61568.427400219181</v>
      </c>
      <c r="D32" s="141">
        <v>61568.427400219181</v>
      </c>
    </row>
    <row r="33" spans="1:5" x14ac:dyDescent="0.2">
      <c r="A33" s="28">
        <v>44652</v>
      </c>
      <c r="B33" s="136">
        <v>63974.66135616439</v>
      </c>
      <c r="C33" s="136">
        <v>52080.533590801373</v>
      </c>
      <c r="D33" s="136">
        <v>116055.19494696576</v>
      </c>
    </row>
    <row r="34" spans="1:5" x14ac:dyDescent="0.2">
      <c r="A34" s="28">
        <v>44835</v>
      </c>
      <c r="B34" s="136"/>
      <c r="C34" s="136">
        <v>50481.167056897262</v>
      </c>
      <c r="D34" s="136">
        <v>50481.167056897262</v>
      </c>
    </row>
    <row r="35" spans="1:5" x14ac:dyDescent="0.2">
      <c r="A35" s="28">
        <v>45017</v>
      </c>
      <c r="B35" s="145"/>
      <c r="C35" s="145"/>
      <c r="D35" s="145">
        <v>0</v>
      </c>
    </row>
    <row r="36" spans="1:5" x14ac:dyDescent="0.2">
      <c r="B36" s="146">
        <f>SUM(B32:B35)</f>
        <v>63974.66135616439</v>
      </c>
      <c r="C36" s="146">
        <f>SUM(C32:C35)</f>
        <v>164130.12804791779</v>
      </c>
      <c r="D36" s="146">
        <f>SUM(D32:D35)</f>
        <v>228104.78940408217</v>
      </c>
    </row>
    <row r="38" spans="1:5" x14ac:dyDescent="0.2">
      <c r="B38" s="132" t="s">
        <v>205</v>
      </c>
    </row>
    <row r="39" spans="1:5" x14ac:dyDescent="0.2">
      <c r="B39" s="153" t="s">
        <v>171</v>
      </c>
      <c r="C39" s="153"/>
      <c r="D39" s="166" t="s">
        <v>2</v>
      </c>
      <c r="E39" s="167">
        <f>B50</f>
        <v>-177955.29714374998</v>
      </c>
    </row>
    <row r="40" spans="1:5" x14ac:dyDescent="0.2">
      <c r="D40" s="168" t="s">
        <v>3</v>
      </c>
      <c r="E40" s="169">
        <f>C50</f>
        <v>-185361.62978336873</v>
      </c>
    </row>
    <row r="42" spans="1:5" x14ac:dyDescent="0.2">
      <c r="A42" s="9" t="s">
        <v>0</v>
      </c>
      <c r="B42" s="158" t="s">
        <v>175</v>
      </c>
      <c r="C42" s="159"/>
      <c r="D42" s="160"/>
    </row>
    <row r="43" spans="1:5" x14ac:dyDescent="0.2">
      <c r="A43" s="18" t="s">
        <v>1</v>
      </c>
      <c r="B43" s="161">
        <v>2.0236795753424658E-2</v>
      </c>
      <c r="C43" s="119">
        <v>2.0636987534246577E-2</v>
      </c>
      <c r="D43" s="131">
        <v>2.0636987534246577E-2</v>
      </c>
    </row>
    <row r="44" spans="1:5" x14ac:dyDescent="0.2">
      <c r="A44" s="18"/>
      <c r="B44" s="161"/>
      <c r="C44" s="162"/>
      <c r="D44" s="131"/>
    </row>
    <row r="45" spans="1:5" x14ac:dyDescent="0.2">
      <c r="A45" s="24"/>
      <c r="B45" s="163" t="s">
        <v>2</v>
      </c>
      <c r="C45" s="163" t="s">
        <v>3</v>
      </c>
      <c r="D45" s="163" t="s">
        <v>4</v>
      </c>
    </row>
    <row r="46" spans="1:5" x14ac:dyDescent="0.2">
      <c r="B46" s="133"/>
      <c r="C46" s="133">
        <f>C59-H59</f>
        <v>-70514.553756337496</v>
      </c>
      <c r="D46" s="133">
        <v>61568.427400219181</v>
      </c>
    </row>
    <row r="47" spans="1:5" x14ac:dyDescent="0.2">
      <c r="B47" s="134">
        <f>B60-G60</f>
        <v>-177955.29714374998</v>
      </c>
      <c r="C47" s="134">
        <f>C60-H60</f>
        <v>-59647.979227812495</v>
      </c>
      <c r="D47" s="134">
        <v>116055.19494696576</v>
      </c>
    </row>
    <row r="48" spans="1:5" x14ac:dyDescent="0.2">
      <c r="B48" s="134"/>
      <c r="C48" s="134">
        <f>C61-H61</f>
        <v>-55199.096799218751</v>
      </c>
      <c r="D48" s="134">
        <v>50481.167056897262</v>
      </c>
    </row>
    <row r="49" spans="1:9" x14ac:dyDescent="0.2">
      <c r="B49" s="164"/>
      <c r="C49" s="164"/>
      <c r="D49" s="164">
        <v>0</v>
      </c>
    </row>
    <row r="50" spans="1:9" x14ac:dyDescent="0.2">
      <c r="B50" s="165">
        <f>SUM(B46:B49)</f>
        <v>-177955.29714374998</v>
      </c>
      <c r="C50" s="165">
        <f>SUM(C46:C49)</f>
        <v>-185361.62978336873</v>
      </c>
      <c r="D50" s="165">
        <f>SUM(D46:D49)</f>
        <v>228104.78940408217</v>
      </c>
    </row>
    <row r="54" spans="1:9" x14ac:dyDescent="0.2">
      <c r="B54" s="65" t="s">
        <v>173</v>
      </c>
      <c r="C54" s="5"/>
      <c r="D54" s="5" t="s">
        <v>163</v>
      </c>
      <c r="G54" s="132" t="s">
        <v>172</v>
      </c>
      <c r="I54" s="132"/>
    </row>
    <row r="55" spans="1:9" x14ac:dyDescent="0.2">
      <c r="B55" s="150" t="s">
        <v>174</v>
      </c>
      <c r="C55" s="231"/>
      <c r="D55" s="232"/>
      <c r="G55" s="150" t="s">
        <v>174</v>
      </c>
      <c r="H55" s="13"/>
      <c r="I55" s="14"/>
    </row>
    <row r="56" spans="1:9" x14ac:dyDescent="0.2">
      <c r="B56" s="34">
        <v>7.1809450624999993E-2</v>
      </c>
      <c r="C56" s="8">
        <v>7.7411716250000026E-2</v>
      </c>
      <c r="D56" s="8">
        <v>7.7411716250000026E-2</v>
      </c>
      <c r="G56" s="34">
        <v>0.25647019999999998</v>
      </c>
      <c r="H56" s="8">
        <v>0.26572420000000002</v>
      </c>
      <c r="I56" s="21"/>
    </row>
    <row r="57" spans="1:9" x14ac:dyDescent="0.2">
      <c r="B57" s="34"/>
      <c r="C57" s="20"/>
      <c r="D57" s="21"/>
      <c r="G57" s="34"/>
      <c r="H57" s="20"/>
      <c r="I57" s="21"/>
    </row>
    <row r="58" spans="1:9" x14ac:dyDescent="0.2">
      <c r="B58" s="25" t="s">
        <v>2</v>
      </c>
      <c r="C58" s="25" t="s">
        <v>3</v>
      </c>
      <c r="D58" s="25" t="s">
        <v>4</v>
      </c>
      <c r="G58" s="25" t="s">
        <v>2</v>
      </c>
      <c r="H58" s="25" t="s">
        <v>3</v>
      </c>
      <c r="I58" s="25" t="s">
        <v>4</v>
      </c>
    </row>
    <row r="59" spans="1:9" x14ac:dyDescent="0.2">
      <c r="A59" s="28">
        <v>44470</v>
      </c>
      <c r="B59" s="64"/>
      <c r="C59" s="64">
        <v>27421.156815662496</v>
      </c>
      <c r="D59" s="64">
        <v>27421.156815662496</v>
      </c>
      <c r="G59" s="64"/>
      <c r="H59" s="64">
        <v>97935.710571999996</v>
      </c>
      <c r="I59" s="64">
        <v>97935.710571999996</v>
      </c>
    </row>
    <row r="60" spans="1:9" x14ac:dyDescent="0.2">
      <c r="A60" s="28">
        <v>44652</v>
      </c>
      <c r="B60" s="5">
        <v>73154.071856250026</v>
      </c>
      <c r="C60" s="5">
        <v>24520.16112218751</v>
      </c>
      <c r="D60" s="5">
        <v>97674.232978437532</v>
      </c>
      <c r="G60" s="5">
        <v>251109.36900000001</v>
      </c>
      <c r="H60" s="5">
        <v>84168.140350000001</v>
      </c>
      <c r="I60" s="5">
        <v>335277.50935000001</v>
      </c>
    </row>
    <row r="61" spans="1:9" x14ac:dyDescent="0.2">
      <c r="A61" s="28">
        <v>44835</v>
      </c>
      <c r="B61" s="5"/>
      <c r="C61" s="5">
        <v>22691.309325781258</v>
      </c>
      <c r="D61" s="5">
        <v>22691.309325781258</v>
      </c>
      <c r="G61" s="5"/>
      <c r="H61" s="5">
        <v>77890.406125000009</v>
      </c>
      <c r="I61" s="5">
        <v>77890.406125000009</v>
      </c>
    </row>
    <row r="62" spans="1:9" x14ac:dyDescent="0.2">
      <c r="A62" s="28">
        <v>45017</v>
      </c>
      <c r="B62" s="151"/>
      <c r="C62" s="151"/>
      <c r="D62" s="151"/>
      <c r="G62" s="151"/>
      <c r="H62" s="151"/>
      <c r="I62" s="151"/>
    </row>
    <row r="66" spans="1:9" x14ac:dyDescent="0.2">
      <c r="A66" s="148" t="s">
        <v>202</v>
      </c>
    </row>
    <row r="67" spans="1:9" x14ac:dyDescent="0.2">
      <c r="A67" s="148"/>
      <c r="B67" s="230" t="s">
        <v>205</v>
      </c>
    </row>
    <row r="68" spans="1:9" x14ac:dyDescent="0.2">
      <c r="B68" s="215" t="s">
        <v>55</v>
      </c>
      <c r="C68" s="199"/>
      <c r="D68" s="200"/>
    </row>
    <row r="69" spans="1:9" x14ac:dyDescent="0.2">
      <c r="A69" s="9" t="s">
        <v>0</v>
      </c>
      <c r="B69" s="22"/>
      <c r="C69" s="181" t="s">
        <v>186</v>
      </c>
      <c r="D69" s="21"/>
    </row>
    <row r="70" spans="1:9" x14ac:dyDescent="0.2">
      <c r="A70" s="18" t="s">
        <v>1</v>
      </c>
      <c r="B70" s="22">
        <v>0.48877338246575347</v>
      </c>
      <c r="C70" s="23">
        <v>0.28757163863013696</v>
      </c>
      <c r="D70" s="21">
        <v>0.14664994376712343</v>
      </c>
    </row>
    <row r="71" spans="1:9" x14ac:dyDescent="0.2">
      <c r="A71" s="18"/>
      <c r="B71" s="189">
        <v>3.9871297191780723E-2</v>
      </c>
      <c r="C71" s="8"/>
      <c r="D71" s="172"/>
    </row>
    <row r="72" spans="1:9" x14ac:dyDescent="0.2">
      <c r="A72" s="24"/>
      <c r="B72" s="26" t="s">
        <v>2</v>
      </c>
      <c r="C72" s="26" t="s">
        <v>3</v>
      </c>
      <c r="D72" s="26" t="s">
        <v>4</v>
      </c>
    </row>
    <row r="73" spans="1:9" x14ac:dyDescent="0.2">
      <c r="A73" s="28">
        <v>44470</v>
      </c>
      <c r="B73" s="141"/>
      <c r="C73" s="141">
        <f>C83-H83</f>
        <v>-61568.493666191585</v>
      </c>
      <c r="D73" s="141">
        <f>B73+C73</f>
        <v>-61568.493666191585</v>
      </c>
    </row>
    <row r="74" spans="1:9" x14ac:dyDescent="0.2">
      <c r="A74" s="28">
        <v>44652</v>
      </c>
      <c r="B74" s="136">
        <f>B84-G84</f>
        <v>-63974.58024657541</v>
      </c>
      <c r="C74" s="136">
        <f>C84-H84</f>
        <v>-52080.467561054858</v>
      </c>
      <c r="D74" s="136">
        <f t="shared" ref="D74:D75" si="0">B74+C74</f>
        <v>-116055.04780763027</v>
      </c>
    </row>
    <row r="75" spans="1:9" x14ac:dyDescent="0.2">
      <c r="A75" s="28">
        <v>44835</v>
      </c>
      <c r="B75" s="136">
        <f>B85-G85</f>
        <v>0</v>
      </c>
      <c r="C75" s="136">
        <f>C85-H85</f>
        <v>-50481.090489051014</v>
      </c>
      <c r="D75" s="136">
        <f t="shared" si="0"/>
        <v>-50481.090489051014</v>
      </c>
    </row>
    <row r="76" spans="1:9" x14ac:dyDescent="0.2">
      <c r="A76" s="28"/>
      <c r="B76" s="5"/>
      <c r="C76" s="5"/>
      <c r="D76" s="5"/>
    </row>
    <row r="77" spans="1:9" x14ac:dyDescent="0.2">
      <c r="A77" s="28"/>
      <c r="B77" s="65" t="s">
        <v>163</v>
      </c>
      <c r="C77" s="5"/>
      <c r="D77" s="5"/>
    </row>
    <row r="78" spans="1:9" x14ac:dyDescent="0.2">
      <c r="B78" s="215" t="s">
        <v>55</v>
      </c>
      <c r="C78" s="199"/>
      <c r="D78" s="200"/>
      <c r="G78" t="s">
        <v>204</v>
      </c>
    </row>
    <row r="79" spans="1:9" x14ac:dyDescent="0.2">
      <c r="A79" s="9" t="s">
        <v>0</v>
      </c>
      <c r="B79" s="22"/>
      <c r="C79" s="181" t="s">
        <v>186</v>
      </c>
      <c r="D79" s="21"/>
      <c r="G79" s="17" t="s">
        <v>55</v>
      </c>
      <c r="H79" s="15"/>
      <c r="I79" s="16"/>
    </row>
    <row r="80" spans="1:9" x14ac:dyDescent="0.2">
      <c r="A80" s="18" t="s">
        <v>1</v>
      </c>
      <c r="B80" s="22">
        <v>0.48877338246575347</v>
      </c>
      <c r="C80" s="23">
        <v>0.28757163863013696</v>
      </c>
      <c r="D80" s="21">
        <v>0.14664994376712343</v>
      </c>
      <c r="G80" s="22"/>
      <c r="H80" s="23"/>
      <c r="I80" s="21"/>
    </row>
    <row r="81" spans="1:9" x14ac:dyDescent="0.2">
      <c r="A81" s="18"/>
      <c r="B81" s="189">
        <v>3.9871297191780723E-2</v>
      </c>
      <c r="C81" s="8"/>
      <c r="D81" s="172"/>
      <c r="G81" s="22">
        <v>0.50901019999999997</v>
      </c>
      <c r="H81" s="23">
        <v>0.3082086</v>
      </c>
      <c r="I81" s="21">
        <v>0.16728689999999999</v>
      </c>
    </row>
    <row r="82" spans="1:9" x14ac:dyDescent="0.2">
      <c r="A82" s="24"/>
      <c r="B82" s="26" t="s">
        <v>2</v>
      </c>
      <c r="C82" s="26" t="s">
        <v>3</v>
      </c>
      <c r="D82" s="26" t="s">
        <v>4</v>
      </c>
      <c r="G82" s="26" t="s">
        <v>2</v>
      </c>
      <c r="H82" s="26" t="s">
        <v>3</v>
      </c>
      <c r="I82" s="26" t="s">
        <v>4</v>
      </c>
    </row>
    <row r="83" spans="1:9" x14ac:dyDescent="0.2">
      <c r="A83" s="28">
        <v>44470</v>
      </c>
      <c r="B83" s="64"/>
      <c r="C83" s="64">
        <v>1487044.1388138083</v>
      </c>
      <c r="D83" s="64">
        <v>1487044.1388138083</v>
      </c>
      <c r="G83" s="64"/>
      <c r="H83" s="64">
        <v>1548612.6324799999</v>
      </c>
      <c r="I83" s="64">
        <v>1548612.6324799999</v>
      </c>
    </row>
    <row r="84" spans="1:9" x14ac:dyDescent="0.2">
      <c r="A84" s="28">
        <v>44652</v>
      </c>
      <c r="B84" s="5">
        <v>891472.07975342462</v>
      </c>
      <c r="C84" s="5">
        <v>725730.16582894512</v>
      </c>
      <c r="D84" s="5">
        <v>1617202.2455823696</v>
      </c>
      <c r="G84" s="5">
        <v>955446.66</v>
      </c>
      <c r="H84" s="5">
        <v>777810.63338999997</v>
      </c>
      <c r="I84" s="5">
        <v>1733257.29339</v>
      </c>
    </row>
    <row r="85" spans="1:9" x14ac:dyDescent="0.2">
      <c r="A85" s="28">
        <v>44835</v>
      </c>
      <c r="B85" s="5"/>
      <c r="C85" s="5">
        <v>358727.75994594896</v>
      </c>
      <c r="D85" s="5">
        <v>358727.75994594896</v>
      </c>
      <c r="G85" s="5"/>
      <c r="H85" s="5">
        <v>409208.85043499997</v>
      </c>
      <c r="I85" s="5">
        <v>409208.85043499997</v>
      </c>
    </row>
    <row r="86" spans="1:9" x14ac:dyDescent="0.2">
      <c r="A86" s="28">
        <v>45017</v>
      </c>
      <c r="B86" s="5">
        <v>150514.14689897222</v>
      </c>
      <c r="C86" s="5">
        <v>97531.173625674419</v>
      </c>
      <c r="D86" s="5">
        <v>248045.32052464664</v>
      </c>
      <c r="G86" s="5"/>
      <c r="H86" s="5"/>
      <c r="I86" s="5">
        <v>0</v>
      </c>
    </row>
    <row r="87" spans="1:9" x14ac:dyDescent="0.2">
      <c r="A87" s="28"/>
      <c r="B87" s="5"/>
      <c r="C87" s="5"/>
      <c r="D87" s="5"/>
      <c r="G87" s="5"/>
      <c r="H87" s="5"/>
      <c r="I87" s="5"/>
    </row>
    <row r="88" spans="1:9" x14ac:dyDescent="0.2">
      <c r="A88" s="28"/>
      <c r="B88" s="5"/>
      <c r="C88" s="5"/>
      <c r="D88" s="5"/>
      <c r="G88" s="5"/>
      <c r="H88" s="5"/>
      <c r="I88" s="5"/>
    </row>
    <row r="89" spans="1:9" x14ac:dyDescent="0.2">
      <c r="A89" s="28"/>
      <c r="B89" s="230" t="s">
        <v>205</v>
      </c>
      <c r="C89" s="5"/>
      <c r="D89" s="5"/>
      <c r="G89" s="5"/>
      <c r="H89" s="5"/>
      <c r="I89" s="5"/>
    </row>
    <row r="90" spans="1:9" x14ac:dyDescent="0.2">
      <c r="B90" s="212" t="s">
        <v>55</v>
      </c>
      <c r="C90" s="213"/>
      <c r="D90" s="214"/>
      <c r="G90" s="5"/>
      <c r="H90" s="5"/>
      <c r="I90" s="5"/>
    </row>
    <row r="91" spans="1:9" x14ac:dyDescent="0.2">
      <c r="A91" s="9" t="s">
        <v>0</v>
      </c>
      <c r="B91" s="197"/>
      <c r="C91" s="183" t="s">
        <v>187</v>
      </c>
      <c r="D91" s="172"/>
      <c r="G91" s="5"/>
      <c r="H91" s="5"/>
      <c r="I91" s="5"/>
    </row>
    <row r="92" spans="1:9" x14ac:dyDescent="0.2">
      <c r="A92" s="18" t="s">
        <v>1</v>
      </c>
      <c r="B92" s="182">
        <v>0.33471092749999998</v>
      </c>
      <c r="C92" s="23">
        <v>0.18831251125000001</v>
      </c>
      <c r="D92" s="21">
        <v>0.18831251124999998</v>
      </c>
      <c r="G92" s="5"/>
      <c r="H92" s="5"/>
      <c r="I92" s="5"/>
    </row>
    <row r="93" spans="1:9" x14ac:dyDescent="0.2">
      <c r="A93" s="18"/>
      <c r="B93" s="171">
        <v>0.18831251124999998</v>
      </c>
      <c r="C93" s="49"/>
      <c r="D93" s="194"/>
      <c r="G93" s="5"/>
      <c r="H93" s="5"/>
      <c r="I93" s="5"/>
    </row>
    <row r="94" spans="1:9" x14ac:dyDescent="0.2">
      <c r="A94" s="24"/>
      <c r="B94" s="25" t="s">
        <v>2</v>
      </c>
      <c r="C94" s="25" t="s">
        <v>3</v>
      </c>
      <c r="D94" s="25" t="s">
        <v>4</v>
      </c>
      <c r="G94" s="5"/>
      <c r="H94" s="5"/>
      <c r="I94" s="5"/>
    </row>
    <row r="95" spans="1:9" x14ac:dyDescent="0.2">
      <c r="A95" s="28">
        <v>44470</v>
      </c>
      <c r="B95" s="141"/>
      <c r="C95" s="141">
        <f>C106-H106</f>
        <v>70514.545403149998</v>
      </c>
      <c r="D95" s="136">
        <f t="shared" ref="D95:D97" si="1">B95+C95</f>
        <v>70514.545403149998</v>
      </c>
      <c r="G95" s="5" t="s">
        <v>206</v>
      </c>
      <c r="H95" s="5"/>
      <c r="I95" s="5"/>
    </row>
    <row r="96" spans="1:9" x14ac:dyDescent="0.2">
      <c r="A96" s="28">
        <v>44652</v>
      </c>
      <c r="B96" s="136">
        <f>B107-G107</f>
        <v>177955.32313125001</v>
      </c>
      <c r="C96" s="136">
        <f>C107-H107</f>
        <v>59647.987938437502</v>
      </c>
      <c r="D96" s="136">
        <f t="shared" si="1"/>
        <v>237603.31106968751</v>
      </c>
      <c r="G96" s="5" t="s">
        <v>207</v>
      </c>
      <c r="H96" s="5" t="s">
        <v>208</v>
      </c>
      <c r="I96" s="5"/>
    </row>
    <row r="97" spans="1:9" x14ac:dyDescent="0.2">
      <c r="A97" s="28">
        <v>44835</v>
      </c>
      <c r="B97" s="136"/>
      <c r="C97" s="136">
        <f>C108-H108</f>
        <v>55199.104860156243</v>
      </c>
      <c r="D97" s="136">
        <f t="shared" si="1"/>
        <v>55199.104860156243</v>
      </c>
      <c r="F97" s="28">
        <v>44470</v>
      </c>
      <c r="G97" s="5">
        <f t="shared" ref="G97:G99" si="2">B73+B95</f>
        <v>0</v>
      </c>
      <c r="H97" s="5">
        <f t="shared" ref="H97:H98" si="3">C73+C95</f>
        <v>8946.0517369584122</v>
      </c>
    </row>
    <row r="98" spans="1:9" x14ac:dyDescent="0.2">
      <c r="A98" s="28">
        <v>45017</v>
      </c>
      <c r="B98" s="5"/>
      <c r="C98" s="5"/>
      <c r="D98" s="5"/>
      <c r="F98" s="28">
        <v>44652</v>
      </c>
      <c r="G98" s="5">
        <f t="shared" si="2"/>
        <v>113980.7428846746</v>
      </c>
      <c r="H98" s="5">
        <f t="shared" si="3"/>
        <v>7567.5203773826433</v>
      </c>
      <c r="I98" s="5"/>
    </row>
    <row r="99" spans="1:9" x14ac:dyDescent="0.2">
      <c r="A99" s="28"/>
      <c r="B99" s="5"/>
      <c r="C99" s="5"/>
      <c r="D99" s="5"/>
      <c r="F99" s="29">
        <v>44835</v>
      </c>
      <c r="G99" s="5">
        <f t="shared" si="2"/>
        <v>0</v>
      </c>
      <c r="H99" s="5">
        <f>C75+C97</f>
        <v>4718.0143711052297</v>
      </c>
      <c r="I99" s="5" t="s">
        <v>209</v>
      </c>
    </row>
    <row r="100" spans="1:9" x14ac:dyDescent="0.2">
      <c r="A100" s="28"/>
      <c r="B100" s="65" t="s">
        <v>163</v>
      </c>
      <c r="C100" s="5"/>
      <c r="D100" s="5"/>
      <c r="G100" s="5"/>
      <c r="H100" s="5"/>
      <c r="I100" s="5"/>
    </row>
    <row r="101" spans="1:9" x14ac:dyDescent="0.2">
      <c r="B101" s="212" t="s">
        <v>55</v>
      </c>
      <c r="C101" s="213"/>
      <c r="D101" s="214"/>
      <c r="G101" t="s">
        <v>203</v>
      </c>
    </row>
    <row r="102" spans="1:9" x14ac:dyDescent="0.2">
      <c r="A102" s="9" t="s">
        <v>0</v>
      </c>
      <c r="B102" s="197"/>
      <c r="C102" s="183" t="s">
        <v>187</v>
      </c>
      <c r="D102" s="172"/>
      <c r="G102" s="17" t="s">
        <v>55</v>
      </c>
      <c r="H102" s="15"/>
      <c r="I102" s="16"/>
    </row>
    <row r="103" spans="1:9" x14ac:dyDescent="0.2">
      <c r="A103" s="18" t="s">
        <v>1</v>
      </c>
      <c r="B103" s="182">
        <v>0.33471092749999998</v>
      </c>
      <c r="C103" s="23">
        <v>0.18831251125000001</v>
      </c>
      <c r="D103" s="21">
        <v>0.18831251124999998</v>
      </c>
      <c r="G103" s="34">
        <v>0.15005019999999999</v>
      </c>
      <c r="H103" s="8"/>
      <c r="I103" s="21"/>
    </row>
    <row r="104" spans="1:9" x14ac:dyDescent="0.2">
      <c r="A104" s="18"/>
      <c r="B104" s="171">
        <v>0.18831251124999998</v>
      </c>
      <c r="C104" s="49"/>
      <c r="D104" s="194"/>
      <c r="G104" s="34"/>
      <c r="H104" s="20"/>
      <c r="I104" s="21"/>
    </row>
    <row r="105" spans="1:9" x14ac:dyDescent="0.2">
      <c r="A105" s="24"/>
      <c r="B105" s="25" t="s">
        <v>2</v>
      </c>
      <c r="C105" s="25" t="s">
        <v>3</v>
      </c>
      <c r="D105" s="25" t="s">
        <v>4</v>
      </c>
      <c r="G105" s="25" t="s">
        <v>2</v>
      </c>
      <c r="H105" s="25" t="s">
        <v>3</v>
      </c>
      <c r="I105" s="25" t="s">
        <v>4</v>
      </c>
    </row>
    <row r="106" spans="1:9" x14ac:dyDescent="0.2">
      <c r="A106" s="28">
        <v>44470</v>
      </c>
      <c r="B106" s="64"/>
      <c r="C106" s="64">
        <v>127812.71477514999</v>
      </c>
      <c r="D106" s="64">
        <v>127812.71477514999</v>
      </c>
      <c r="G106" s="64"/>
      <c r="H106" s="64">
        <v>57298.169371999997</v>
      </c>
      <c r="I106" s="64">
        <v>57298.169371999997</v>
      </c>
    </row>
    <row r="107" spans="1:9" x14ac:dyDescent="0.2">
      <c r="A107" s="28">
        <v>44652</v>
      </c>
      <c r="B107" s="5">
        <v>177955.32313125001</v>
      </c>
      <c r="C107" s="5">
        <v>59647.987938437502</v>
      </c>
      <c r="D107" s="5">
        <v>237603.31106968751</v>
      </c>
      <c r="G107" s="5">
        <v>0</v>
      </c>
      <c r="H107" s="5">
        <v>0</v>
      </c>
      <c r="I107" s="5">
        <v>0</v>
      </c>
    </row>
    <row r="108" spans="1:9" x14ac:dyDescent="0.2">
      <c r="A108" s="28">
        <v>44835</v>
      </c>
      <c r="B108" s="5"/>
      <c r="C108" s="5">
        <v>55199.104860156243</v>
      </c>
      <c r="D108" s="5">
        <v>55199.104860156243</v>
      </c>
      <c r="G108" s="5"/>
      <c r="H108" s="5">
        <v>0</v>
      </c>
      <c r="I108" s="5">
        <v>0</v>
      </c>
    </row>
    <row r="109" spans="1:9" x14ac:dyDescent="0.2">
      <c r="A109" s="28">
        <v>45017</v>
      </c>
      <c r="B109" s="5">
        <v>200552.82448124999</v>
      </c>
      <c r="C109" s="5">
        <v>55199.104860156243</v>
      </c>
      <c r="D109" s="5">
        <v>255751.92934140624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59"/>
  <sheetViews>
    <sheetView workbookViewId="0">
      <pane xSplit="3" ySplit="4" topLeftCell="H5" activePane="bottomRight" state="frozen"/>
      <selection pane="topRight" activeCell="D1" sqref="D1"/>
      <selection pane="bottomLeft" activeCell="A5" sqref="A5"/>
      <selection pane="bottomRight" activeCell="P64" sqref="P64"/>
    </sheetView>
  </sheetViews>
  <sheetFormatPr defaultRowHeight="12.75" x14ac:dyDescent="0.2"/>
  <cols>
    <col min="1" max="1" width="8.85546875" customWidth="1"/>
    <col min="2" max="2" width="15.7109375" customWidth="1"/>
    <col min="3" max="3" width="36.5703125" customWidth="1"/>
    <col min="4" max="4" width="15.42578125" style="35" customWidth="1"/>
    <col min="5" max="5" width="14.42578125" style="35" customWidth="1"/>
    <col min="6" max="6" width="12.7109375" style="35" customWidth="1"/>
    <col min="7" max="7" width="10.85546875" style="35" customWidth="1"/>
    <col min="8" max="8" width="12.28515625" style="35" customWidth="1"/>
    <col min="9" max="9" width="13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4.28515625" style="35" customWidth="1"/>
    <col min="15" max="15" width="10.42578125" style="35" customWidth="1"/>
    <col min="16" max="16" width="13.28515625" style="35" customWidth="1"/>
    <col min="17" max="17" width="10.85546875" style="35" customWidth="1"/>
    <col min="18" max="18" width="13.140625" style="35" customWidth="1"/>
    <col min="19" max="19" width="12.7109375" style="8" customWidth="1"/>
    <col min="20" max="20" width="10.28515625" bestFit="1" customWidth="1"/>
  </cols>
  <sheetData>
    <row r="1" spans="1:19" x14ac:dyDescent="0.2">
      <c r="A1" s="63" t="s">
        <v>98</v>
      </c>
    </row>
    <row r="3" spans="1:19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19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19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104535124.77</v>
      </c>
      <c r="F5" s="43">
        <f t="shared" si="0"/>
        <v>4119306.4</v>
      </c>
      <c r="G5" s="43">
        <f t="shared" si="0"/>
        <v>0</v>
      </c>
      <c r="H5" s="43">
        <f t="shared" si="0"/>
        <v>1213537.6200000001</v>
      </c>
      <c r="I5" s="43">
        <f t="shared" si="0"/>
        <v>16435637.470000001</v>
      </c>
      <c r="J5" s="43">
        <f t="shared" si="0"/>
        <v>0</v>
      </c>
      <c r="K5" s="43">
        <f t="shared" si="0"/>
        <v>3180685.33</v>
      </c>
      <c r="L5" s="43">
        <f t="shared" si="0"/>
        <v>447527.34</v>
      </c>
      <c r="M5" s="43">
        <f t="shared" si="0"/>
        <v>616379.81000000006</v>
      </c>
      <c r="N5" s="43">
        <f t="shared" si="0"/>
        <v>1170713.22</v>
      </c>
      <c r="O5" s="43">
        <f t="shared" si="0"/>
        <v>476614.67000000004</v>
      </c>
      <c r="P5" s="43">
        <f t="shared" si="0"/>
        <v>32864292.470000006</v>
      </c>
      <c r="Q5" s="43">
        <f t="shared" si="0"/>
        <v>223892.22</v>
      </c>
      <c r="R5" s="43">
        <f t="shared" si="0"/>
        <v>76716288.679999992</v>
      </c>
      <c r="S5" s="44"/>
    </row>
    <row r="6" spans="1:19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19" s="42" customFormat="1" ht="13.5" thickBot="1" x14ac:dyDescent="0.25">
      <c r="C7" s="74" t="s">
        <v>81</v>
      </c>
      <c r="D7" s="43">
        <f>SUM(E7:R7)</f>
        <v>16000000.000000002</v>
      </c>
      <c r="E7" s="43">
        <f>E13+E14</f>
        <v>4103709.37</v>
      </c>
      <c r="F7" s="43">
        <f>F15</f>
        <v>4103523.39</v>
      </c>
      <c r="G7" s="43"/>
      <c r="H7" s="43">
        <f>H16+H17</f>
        <v>787684.7</v>
      </c>
      <c r="I7" s="43">
        <f>I18</f>
        <v>70832.05</v>
      </c>
      <c r="J7" s="43">
        <f>J19</f>
        <v>0</v>
      </c>
      <c r="K7" s="43">
        <f>K20</f>
        <v>194774.13</v>
      </c>
      <c r="L7" s="43">
        <f>L21</f>
        <v>447527.34</v>
      </c>
      <c r="M7" s="43">
        <f>M23+M24</f>
        <v>616379.81000000006</v>
      </c>
      <c r="N7" s="43">
        <f>N25</f>
        <v>273897.21999999997</v>
      </c>
      <c r="O7" s="43">
        <f>O26</f>
        <v>476614.67000000004</v>
      </c>
      <c r="P7" s="43">
        <f>P28</f>
        <v>2300362.4400000004</v>
      </c>
      <c r="Q7" s="43">
        <f>Q29</f>
        <v>223892.22</v>
      </c>
      <c r="R7" s="43">
        <f>R30</f>
        <v>2400802.66</v>
      </c>
      <c r="S7" s="44">
        <f>SUM(S13:S30)</f>
        <v>1</v>
      </c>
    </row>
    <row r="8" spans="1:19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19" s="42" customFormat="1" ht="13.5" thickBot="1" x14ac:dyDescent="0.25">
      <c r="C9" s="74" t="s">
        <v>82</v>
      </c>
      <c r="D9" s="43">
        <f>SUM(E9:R9)</f>
        <v>146000000</v>
      </c>
      <c r="E9" s="43">
        <f>E31+E32+E33+E34+E46</f>
        <v>20431415.399999999</v>
      </c>
      <c r="F9" s="43">
        <f>F47</f>
        <v>15783.01</v>
      </c>
      <c r="G9" s="43"/>
      <c r="H9" s="43">
        <f>H40+H39</f>
        <v>425852.92000000004</v>
      </c>
      <c r="I9" s="43">
        <f>I41+I42+I48+I49+I50+I43</f>
        <v>16364805.42</v>
      </c>
      <c r="J9" s="43">
        <v>0</v>
      </c>
      <c r="K9" s="43">
        <f>K44</f>
        <v>2985911.2</v>
      </c>
      <c r="L9" s="43">
        <v>0</v>
      </c>
      <c r="M9" s="43">
        <v>0</v>
      </c>
      <c r="N9" s="43">
        <f>N45+N51</f>
        <v>896816</v>
      </c>
      <c r="O9" s="43"/>
      <c r="P9" s="43">
        <f>P52+P53</f>
        <v>30563930.030000005</v>
      </c>
      <c r="Q9" s="43">
        <v>0</v>
      </c>
      <c r="R9" s="43">
        <f>R54</f>
        <v>74315486.019999996</v>
      </c>
      <c r="S9" s="44">
        <f>SUM(S31:S54)</f>
        <v>1</v>
      </c>
    </row>
    <row r="10" spans="1:19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19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E55+E56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S55+S56</f>
        <v>1</v>
      </c>
    </row>
    <row r="12" spans="1:19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19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19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f>82185.19</f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5.1365743749999995E-3</v>
      </c>
    </row>
    <row r="15" spans="1:19" x14ac:dyDescent="0.2">
      <c r="A15" s="2" t="s">
        <v>13</v>
      </c>
      <c r="B15" s="56" t="s">
        <v>122</v>
      </c>
      <c r="C15" s="56" t="s">
        <v>35</v>
      </c>
      <c r="D15" s="35">
        <f t="shared" si="1"/>
        <v>4103523.39</v>
      </c>
      <c r="E15" s="47"/>
      <c r="F15" s="47">
        <f>2954572.18+13642.36+429913.98+44849+464439.21+182030.89+10483.21+87.36+2590.32+679.68+235.2</f>
        <v>4103523.39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8">
        <f>D15/D7</f>
        <v>0.25647021187499996</v>
      </c>
    </row>
    <row r="16" spans="1:19" x14ac:dyDescent="0.2">
      <c r="A16" s="2" t="s">
        <v>15</v>
      </c>
      <c r="B16" s="56" t="s">
        <v>118</v>
      </c>
      <c r="C16" s="56" t="s">
        <v>35</v>
      </c>
      <c r="D16" s="35">
        <f t="shared" si="1"/>
        <v>245682.72</v>
      </c>
      <c r="E16" s="47"/>
      <c r="F16" s="47"/>
      <c r="G16" s="46"/>
      <c r="H16" s="47">
        <f>241109.89+4572.83</f>
        <v>245682.72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1.5355169999999998E-2</v>
      </c>
    </row>
    <row r="17" spans="1:19" x14ac:dyDescent="0.2">
      <c r="A17" s="56" t="s">
        <v>15</v>
      </c>
      <c r="B17" s="56" t="s">
        <v>117</v>
      </c>
      <c r="C17" s="56" t="s">
        <v>39</v>
      </c>
      <c r="D17" s="35">
        <f t="shared" si="1"/>
        <v>542001.98</v>
      </c>
      <c r="E17" s="47"/>
      <c r="F17" s="47"/>
      <c r="G17" s="46"/>
      <c r="H17" s="47">
        <f>483595.97+58406.01</f>
        <v>542001.98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3.3875123749999993E-2</v>
      </c>
    </row>
    <row r="18" spans="1:19" x14ac:dyDescent="0.2">
      <c r="A18" s="2" t="s">
        <v>16</v>
      </c>
      <c r="B18" s="56" t="s">
        <v>115</v>
      </c>
      <c r="C18" s="56" t="s">
        <v>35</v>
      </c>
      <c r="D18" s="35">
        <f t="shared" si="1"/>
        <v>70832.05</v>
      </c>
      <c r="E18" s="47"/>
      <c r="F18" s="47"/>
      <c r="G18" s="46"/>
      <c r="H18" s="47"/>
      <c r="I18" s="47">
        <f>70832.05</f>
        <v>70832.05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4.4270031249999996E-3</v>
      </c>
    </row>
    <row r="19" spans="1:19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19" x14ac:dyDescent="0.2">
      <c r="A20" s="2" t="s">
        <v>59</v>
      </c>
      <c r="B20" s="56" t="s">
        <v>136</v>
      </c>
      <c r="C20" s="56" t="s">
        <v>39</v>
      </c>
      <c r="D20" s="35">
        <f t="shared" si="1"/>
        <v>194774.13</v>
      </c>
      <c r="E20" s="47"/>
      <c r="F20" s="47"/>
      <c r="G20" s="46"/>
      <c r="H20" s="47"/>
      <c r="I20" s="46"/>
      <c r="J20" s="47"/>
      <c r="K20" s="47">
        <f>10347.98+184426.15</f>
        <v>194774.13</v>
      </c>
      <c r="L20" s="46"/>
      <c r="M20" s="46"/>
      <c r="N20" s="46"/>
      <c r="O20" s="46"/>
      <c r="P20" s="46"/>
      <c r="Q20" s="46"/>
      <c r="R20" s="46"/>
      <c r="S20" s="8">
        <f>D20/D7</f>
        <v>1.2173383124999999E-2</v>
      </c>
    </row>
    <row r="21" spans="1:19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447527.34</v>
      </c>
      <c r="E21" s="47"/>
      <c r="F21" s="47"/>
      <c r="G21" s="46"/>
      <c r="H21" s="47"/>
      <c r="I21" s="46"/>
      <c r="J21" s="47"/>
      <c r="K21" s="47"/>
      <c r="L21" s="47">
        <f>447527.34</f>
        <v>447527.34</v>
      </c>
      <c r="M21" s="46"/>
      <c r="N21" s="46"/>
      <c r="O21" s="46"/>
      <c r="P21" s="46"/>
      <c r="Q21" s="46"/>
      <c r="R21" s="46"/>
      <c r="S21" s="8">
        <f>D21/D7</f>
        <v>2.797045875E-2</v>
      </c>
    </row>
    <row r="22" spans="1:19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19" x14ac:dyDescent="0.2">
      <c r="A23" s="2" t="s">
        <v>19</v>
      </c>
      <c r="B23" s="56" t="s">
        <v>116</v>
      </c>
      <c r="C23" s="56" t="s">
        <v>35</v>
      </c>
      <c r="D23" s="35">
        <f t="shared" si="1"/>
        <v>616379.81000000006</v>
      </c>
      <c r="E23" s="47"/>
      <c r="F23" s="46"/>
      <c r="G23" s="46"/>
      <c r="H23" s="46"/>
      <c r="I23" s="46"/>
      <c r="J23" s="46"/>
      <c r="K23" s="46"/>
      <c r="L23" s="47"/>
      <c r="M23" s="47">
        <f>58386.27+309000+248993.54</f>
        <v>616379.81000000006</v>
      </c>
      <c r="N23" s="46"/>
      <c r="O23" s="46"/>
      <c r="P23" s="46"/>
      <c r="Q23" s="46"/>
      <c r="R23" s="46"/>
      <c r="S23" s="8">
        <f>D23/D7</f>
        <v>3.8523738124999998E-2</v>
      </c>
    </row>
    <row r="24" spans="1:19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19" x14ac:dyDescent="0.2">
      <c r="A25" s="2" t="s">
        <v>20</v>
      </c>
      <c r="B25" s="56" t="s">
        <v>119</v>
      </c>
      <c r="C25" s="56" t="s">
        <v>35</v>
      </c>
      <c r="D25" s="35">
        <f t="shared" si="1"/>
        <v>273897.21999999997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82202.1+179395.12+12300</f>
        <v>273897.21999999997</v>
      </c>
      <c r="O25" s="46"/>
      <c r="P25" s="46"/>
      <c r="Q25" s="46"/>
      <c r="R25" s="46"/>
      <c r="S25" s="8">
        <f>D25/D7</f>
        <v>1.7118576249999996E-2</v>
      </c>
    </row>
    <row r="26" spans="1:19" x14ac:dyDescent="0.2">
      <c r="A26" s="2" t="s">
        <v>21</v>
      </c>
      <c r="B26" s="56" t="s">
        <v>116</v>
      </c>
      <c r="C26" s="56" t="s">
        <v>35</v>
      </c>
      <c r="D26" s="35">
        <f t="shared" si="1"/>
        <v>476614.67000000004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139427.26+147949.31+189238.1</f>
        <v>476614.67000000004</v>
      </c>
      <c r="P26" s="46"/>
      <c r="Q26" s="46"/>
      <c r="R26" s="46"/>
      <c r="S26" s="8">
        <f>D26/D7</f>
        <v>2.9788416874999998E-2</v>
      </c>
    </row>
    <row r="27" spans="1:19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19" x14ac:dyDescent="0.2">
      <c r="A28" s="2" t="s">
        <v>22</v>
      </c>
      <c r="B28" s="56" t="s">
        <v>123</v>
      </c>
      <c r="C28" s="56" t="s">
        <v>35</v>
      </c>
      <c r="D28" s="35">
        <f t="shared" si="1"/>
        <v>2300362.4400000004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330219.02+766792.61+575307.35+513210.16+104524.91+10018.39+290</f>
        <v>2300362.4400000004</v>
      </c>
      <c r="Q28" s="46"/>
      <c r="R28" s="46"/>
      <c r="S28" s="8">
        <f>D28/D7</f>
        <v>0.14377265250000001</v>
      </c>
    </row>
    <row r="29" spans="1:19" x14ac:dyDescent="0.2">
      <c r="A29" s="2" t="s">
        <v>23</v>
      </c>
      <c r="B29" s="56" t="s">
        <v>121</v>
      </c>
      <c r="C29" s="56" t="s">
        <v>35</v>
      </c>
      <c r="D29" s="35">
        <f>SUM(E29:R29)</f>
        <v>223892.22</v>
      </c>
      <c r="E29" s="47"/>
      <c r="F29" s="46"/>
      <c r="G29" s="46"/>
      <c r="H29" s="46"/>
      <c r="I29" s="46"/>
      <c r="J29" s="46"/>
      <c r="K29" s="46"/>
      <c r="L29" s="47"/>
      <c r="M29" s="47"/>
      <c r="N29" s="47"/>
      <c r="O29" s="46"/>
      <c r="P29" s="47"/>
      <c r="Q29" s="47">
        <f>125848.57+8196.4+75671.25+14176</f>
        <v>223892.22</v>
      </c>
      <c r="R29" s="47"/>
      <c r="S29" s="8">
        <f>D29/D7</f>
        <v>1.3993263749999998E-2</v>
      </c>
    </row>
    <row r="30" spans="1:19" ht="13.5" thickBot="1" x14ac:dyDescent="0.25">
      <c r="A30" s="75" t="s">
        <v>59</v>
      </c>
      <c r="B30" s="75"/>
      <c r="C30" s="80" t="s">
        <v>128</v>
      </c>
      <c r="D30" s="76">
        <f>SUM(E30:R30)</f>
        <v>2400802.66</v>
      </c>
      <c r="E30" s="77"/>
      <c r="F30" s="78"/>
      <c r="G30" s="78"/>
      <c r="H30" s="78"/>
      <c r="I30" s="78"/>
      <c r="J30" s="78"/>
      <c r="K30" s="78"/>
      <c r="L30" s="77"/>
      <c r="M30" s="77"/>
      <c r="N30" s="77"/>
      <c r="O30" s="78"/>
      <c r="P30" s="77"/>
      <c r="Q30" s="77"/>
      <c r="R30" s="77">
        <v>2400802.66</v>
      </c>
      <c r="S30" s="79">
        <f>D30/D7</f>
        <v>0.15005016625000001</v>
      </c>
    </row>
    <row r="31" spans="1:19" ht="13.5" thickTop="1" x14ac:dyDescent="0.2">
      <c r="A31" s="110" t="s">
        <v>12</v>
      </c>
      <c r="B31" s="110" t="s">
        <v>112</v>
      </c>
      <c r="C31" s="110" t="s">
        <v>109</v>
      </c>
      <c r="D31" s="111">
        <f>SUM(E31:Q31)</f>
        <v>6775617.6699999999</v>
      </c>
      <c r="E31" s="112">
        <f>6775617.67</f>
        <v>6775617.6699999999</v>
      </c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4">
        <f>D31/$D$9</f>
        <v>4.6408340205479452E-2</v>
      </c>
    </row>
    <row r="32" spans="1:19" x14ac:dyDescent="0.2">
      <c r="A32" s="110" t="s">
        <v>12</v>
      </c>
      <c r="B32" s="110" t="s">
        <v>112</v>
      </c>
      <c r="C32" s="110" t="s">
        <v>110</v>
      </c>
      <c r="D32" s="111">
        <f>SUM(E32:Q32)</f>
        <v>10272617.09</v>
      </c>
      <c r="E32" s="112">
        <f>10272617.09</f>
        <v>10272617.09</v>
      </c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4">
        <f>D32/$D$9</f>
        <v>7.0360391027397259E-2</v>
      </c>
    </row>
    <row r="33" spans="1:20" x14ac:dyDescent="0.2">
      <c r="A33" s="110" t="s">
        <v>12</v>
      </c>
      <c r="B33" s="110" t="s">
        <v>112</v>
      </c>
      <c r="C33" s="110" t="s">
        <v>111</v>
      </c>
      <c r="D33" s="111">
        <f>SUM(E33:Q33)</f>
        <v>2287613.69</v>
      </c>
      <c r="E33" s="112">
        <f>2287613.69</f>
        <v>2287613.69</v>
      </c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4">
        <f>D33/$D$9</f>
        <v>1.566858691780822E-2</v>
      </c>
    </row>
    <row r="34" spans="1:20" x14ac:dyDescent="0.2">
      <c r="A34" s="56" t="s">
        <v>12</v>
      </c>
      <c r="B34" s="56" t="s">
        <v>120</v>
      </c>
      <c r="C34" s="56" t="s">
        <v>37</v>
      </c>
      <c r="D34" s="35">
        <f>SUM(E34:Q34)</f>
        <v>1062920.72</v>
      </c>
      <c r="E34" s="47">
        <f>740590.4+322330.32</f>
        <v>1062920.72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 t="shared" ref="S34:S53" si="2">D34/$D$9</f>
        <v>7.2802789041095887E-3</v>
      </c>
    </row>
    <row r="35" spans="1:20" hidden="1" x14ac:dyDescent="0.2">
      <c r="A35" s="56" t="s">
        <v>12</v>
      </c>
      <c r="B35" s="56"/>
      <c r="C35" s="56"/>
      <c r="D35" s="35">
        <f t="shared" ref="D35:D52" si="3">SUM(E35:Q35)</f>
        <v>0</v>
      </c>
      <c r="E35" s="47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 t="shared" si="2"/>
        <v>0</v>
      </c>
    </row>
    <row r="36" spans="1:20" hidden="1" x14ac:dyDescent="0.2">
      <c r="A36" s="56" t="s">
        <v>12</v>
      </c>
      <c r="B36" s="56"/>
      <c r="C36" s="56"/>
      <c r="D36" s="35">
        <f t="shared" si="3"/>
        <v>0</v>
      </c>
      <c r="E36" s="47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8">
        <f t="shared" si="2"/>
        <v>0</v>
      </c>
    </row>
    <row r="37" spans="1:20" hidden="1" x14ac:dyDescent="0.2">
      <c r="A37" s="2" t="s">
        <v>13</v>
      </c>
      <c r="B37" s="56" t="s">
        <v>43</v>
      </c>
      <c r="C37" s="2" t="s">
        <v>39</v>
      </c>
      <c r="D37" s="35">
        <f t="shared" si="3"/>
        <v>0</v>
      </c>
      <c r="E37" s="47"/>
      <c r="F37" s="47"/>
      <c r="G37" s="47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 t="shared" si="2"/>
        <v>0</v>
      </c>
    </row>
    <row r="38" spans="1:20" hidden="1" x14ac:dyDescent="0.2">
      <c r="A38" s="2" t="s">
        <v>14</v>
      </c>
      <c r="B38" s="56" t="s">
        <v>44</v>
      </c>
      <c r="C38" s="2" t="s">
        <v>39</v>
      </c>
      <c r="D38" s="35">
        <f t="shared" si="3"/>
        <v>0</v>
      </c>
      <c r="E38" s="47"/>
      <c r="F38" s="47"/>
      <c r="G38" s="47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si="2"/>
        <v>0</v>
      </c>
    </row>
    <row r="39" spans="1:20" x14ac:dyDescent="0.2">
      <c r="A39" s="2" t="s">
        <v>15</v>
      </c>
      <c r="B39" s="56" t="s">
        <v>57</v>
      </c>
      <c r="C39" s="56" t="s">
        <v>62</v>
      </c>
      <c r="D39" s="35">
        <f t="shared" si="3"/>
        <v>290579.45</v>
      </c>
      <c r="E39" s="47"/>
      <c r="F39" s="47"/>
      <c r="G39" s="46"/>
      <c r="H39" s="47">
        <f>290579.45</f>
        <v>290579.45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2"/>
        <v>1.9902702054794522E-3</v>
      </c>
    </row>
    <row r="40" spans="1:20" x14ac:dyDescent="0.2">
      <c r="A40" s="56" t="s">
        <v>15</v>
      </c>
      <c r="B40" s="56" t="s">
        <v>114</v>
      </c>
      <c r="C40" s="56" t="s">
        <v>58</v>
      </c>
      <c r="D40" s="35">
        <f>SUM(E40:Q40)</f>
        <v>135273.47</v>
      </c>
      <c r="E40" s="47"/>
      <c r="F40" s="47"/>
      <c r="G40" s="46"/>
      <c r="H40" s="47">
        <f>40112.63+95160.84</f>
        <v>135273.47</v>
      </c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2"/>
        <v>9.2653061643835615E-4</v>
      </c>
    </row>
    <row r="41" spans="1:20" x14ac:dyDescent="0.2">
      <c r="A41" s="56" t="s">
        <v>83</v>
      </c>
      <c r="B41" s="56" t="s">
        <v>60</v>
      </c>
      <c r="C41" s="56" t="s">
        <v>84</v>
      </c>
      <c r="D41" s="35">
        <f t="shared" si="3"/>
        <v>1373356.81</v>
      </c>
      <c r="E41" s="47"/>
      <c r="F41" s="47"/>
      <c r="G41" s="46"/>
      <c r="H41" s="47"/>
      <c r="I41" s="47">
        <f>1373356.81</f>
        <v>1373356.81</v>
      </c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2"/>
        <v>9.406553493150685E-3</v>
      </c>
    </row>
    <row r="42" spans="1:20" x14ac:dyDescent="0.2">
      <c r="A42" s="56" t="s">
        <v>16</v>
      </c>
      <c r="B42" s="56" t="s">
        <v>56</v>
      </c>
      <c r="C42" s="56" t="s">
        <v>64</v>
      </c>
      <c r="D42" s="35">
        <f t="shared" si="3"/>
        <v>101099.84</v>
      </c>
      <c r="E42" s="47"/>
      <c r="F42" s="47"/>
      <c r="G42" s="46"/>
      <c r="H42" s="47"/>
      <c r="I42" s="47">
        <f>101099.84</f>
        <v>101099.84</v>
      </c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2"/>
        <v>6.9246465753424651E-4</v>
      </c>
    </row>
    <row r="43" spans="1:20" hidden="1" x14ac:dyDescent="0.2">
      <c r="A43" s="56" t="s">
        <v>16</v>
      </c>
      <c r="B43" s="56" t="s">
        <v>93</v>
      </c>
      <c r="C43" s="56" t="s">
        <v>94</v>
      </c>
      <c r="D43" s="35">
        <f t="shared" si="3"/>
        <v>0</v>
      </c>
      <c r="E43" s="47"/>
      <c r="F43" s="47"/>
      <c r="G43" s="46"/>
      <c r="H43" s="47"/>
      <c r="I43" s="47"/>
      <c r="J43" s="46"/>
      <c r="K43" s="46"/>
      <c r="L43" s="46"/>
      <c r="M43" s="46"/>
      <c r="N43" s="46"/>
      <c r="O43" s="46"/>
      <c r="P43" s="46"/>
      <c r="Q43" s="46"/>
      <c r="R43" s="46"/>
      <c r="S43" s="8">
        <f t="shared" si="2"/>
        <v>0</v>
      </c>
    </row>
    <row r="44" spans="1:20" x14ac:dyDescent="0.2">
      <c r="A44" s="2" t="s">
        <v>59</v>
      </c>
      <c r="B44" s="56" t="s">
        <v>57</v>
      </c>
      <c r="C44" s="56" t="s">
        <v>63</v>
      </c>
      <c r="D44" s="35">
        <f t="shared" si="3"/>
        <v>2985911.2</v>
      </c>
      <c r="E44" s="47"/>
      <c r="F44" s="47"/>
      <c r="G44" s="46"/>
      <c r="H44" s="47"/>
      <c r="I44" s="46"/>
      <c r="J44" s="47"/>
      <c r="K44" s="47">
        <f>2985911.2</f>
        <v>2985911.2</v>
      </c>
      <c r="L44" s="46"/>
      <c r="M44" s="46"/>
      <c r="N44" s="46"/>
      <c r="O44" s="46"/>
      <c r="P44" s="46"/>
      <c r="Q44" s="46"/>
      <c r="R44" s="46"/>
      <c r="S44" s="8">
        <f t="shared" si="2"/>
        <v>2.0451446575342466E-2</v>
      </c>
    </row>
    <row r="45" spans="1:20" x14ac:dyDescent="0.2">
      <c r="A45" s="86" t="s">
        <v>20</v>
      </c>
      <c r="B45" s="81" t="s">
        <v>91</v>
      </c>
      <c r="C45" s="81" t="s">
        <v>92</v>
      </c>
      <c r="D45" s="48">
        <f>SUM(E45:Q45)</f>
        <v>327298.65000000002</v>
      </c>
      <c r="E45" s="82"/>
      <c r="F45" s="83"/>
      <c r="G45" s="83"/>
      <c r="H45" s="83"/>
      <c r="I45" s="83"/>
      <c r="J45" s="83"/>
      <c r="K45" s="83"/>
      <c r="L45" s="82"/>
      <c r="M45" s="82"/>
      <c r="N45" s="82">
        <f>327298.65</f>
        <v>327298.65000000002</v>
      </c>
      <c r="O45" s="83"/>
      <c r="P45" s="83"/>
      <c r="Q45" s="83"/>
      <c r="R45" s="83"/>
      <c r="S45" s="49">
        <f t="shared" si="2"/>
        <v>2.241771575342466E-3</v>
      </c>
      <c r="T45" s="8"/>
    </row>
    <row r="46" spans="1:20" x14ac:dyDescent="0.2">
      <c r="A46" s="2" t="s">
        <v>12</v>
      </c>
      <c r="B46" s="56" t="s">
        <v>50</v>
      </c>
      <c r="C46" s="2" t="s">
        <v>51</v>
      </c>
      <c r="D46" s="35">
        <f t="shared" si="3"/>
        <v>32646.23</v>
      </c>
      <c r="E46" s="35">
        <f>32646.23</f>
        <v>32646.23</v>
      </c>
      <c r="S46" s="8">
        <f t="shared" si="2"/>
        <v>2.2360431506849316E-4</v>
      </c>
    </row>
    <row r="47" spans="1:20" x14ac:dyDescent="0.2">
      <c r="A47" s="56" t="s">
        <v>13</v>
      </c>
      <c r="B47" s="56" t="s">
        <v>52</v>
      </c>
      <c r="C47" s="56" t="s">
        <v>53</v>
      </c>
      <c r="D47" s="35">
        <f t="shared" si="3"/>
        <v>15783.01</v>
      </c>
      <c r="F47" s="35">
        <f>15783.01</f>
        <v>15783.01</v>
      </c>
      <c r="S47" s="8">
        <f t="shared" si="2"/>
        <v>1.0810280821917808E-4</v>
      </c>
    </row>
    <row r="48" spans="1:20" x14ac:dyDescent="0.2">
      <c r="A48" s="56" t="s">
        <v>16</v>
      </c>
      <c r="B48" s="56" t="s">
        <v>45</v>
      </c>
      <c r="C48" s="56" t="s">
        <v>48</v>
      </c>
      <c r="D48" s="35">
        <f t="shared" si="3"/>
        <v>781832.89</v>
      </c>
      <c r="I48" s="35">
        <f>781832.89</f>
        <v>781832.89</v>
      </c>
      <c r="S48" s="8">
        <f t="shared" si="2"/>
        <v>5.3550197945205482E-3</v>
      </c>
    </row>
    <row r="49" spans="1:19" x14ac:dyDescent="0.2">
      <c r="A49" s="2" t="s">
        <v>16</v>
      </c>
      <c r="B49" s="56" t="s">
        <v>61</v>
      </c>
      <c r="C49" s="56" t="s">
        <v>86</v>
      </c>
      <c r="D49" s="35">
        <f t="shared" si="3"/>
        <v>8000357.7300000004</v>
      </c>
      <c r="I49" s="35">
        <v>8000357.7300000004</v>
      </c>
      <c r="S49" s="8">
        <f t="shared" si="2"/>
        <v>5.4796970753424663E-2</v>
      </c>
    </row>
    <row r="50" spans="1:19" x14ac:dyDescent="0.2">
      <c r="A50" s="56" t="s">
        <v>16</v>
      </c>
      <c r="B50" s="56" t="s">
        <v>124</v>
      </c>
      <c r="C50" s="56" t="s">
        <v>67</v>
      </c>
      <c r="D50" s="35">
        <f t="shared" si="3"/>
        <v>6108158.1500000004</v>
      </c>
      <c r="I50" s="35">
        <f>6108158.15</f>
        <v>6108158.1500000004</v>
      </c>
      <c r="S50" s="8">
        <f t="shared" si="2"/>
        <v>4.1836699657534247E-2</v>
      </c>
    </row>
    <row r="51" spans="1:19" x14ac:dyDescent="0.2">
      <c r="A51" s="56" t="s">
        <v>20</v>
      </c>
      <c r="B51" s="56" t="s">
        <v>66</v>
      </c>
      <c r="C51" s="56" t="s">
        <v>54</v>
      </c>
      <c r="D51" s="35">
        <f t="shared" si="3"/>
        <v>569517.35</v>
      </c>
      <c r="N51" s="35">
        <f>569517.35</f>
        <v>569517.35</v>
      </c>
      <c r="S51" s="8">
        <f t="shared" si="2"/>
        <v>3.9008037671232876E-3</v>
      </c>
    </row>
    <row r="52" spans="1:19" x14ac:dyDescent="0.2">
      <c r="A52" s="2" t="s">
        <v>22</v>
      </c>
      <c r="B52" s="56" t="s">
        <v>125</v>
      </c>
      <c r="C52" t="s">
        <v>68</v>
      </c>
      <c r="D52" s="35">
        <f t="shared" si="3"/>
        <v>1312783.52</v>
      </c>
      <c r="P52" s="35">
        <f>982018.38+330765.14</f>
        <v>1312783.52</v>
      </c>
      <c r="S52" s="8">
        <f t="shared" si="2"/>
        <v>8.9916679452054799E-3</v>
      </c>
    </row>
    <row r="53" spans="1:19" x14ac:dyDescent="0.2">
      <c r="A53" s="2" t="s">
        <v>22</v>
      </c>
      <c r="B53" s="56" t="s">
        <v>127</v>
      </c>
      <c r="C53" t="s">
        <v>49</v>
      </c>
      <c r="D53" s="35">
        <f>SUM(E53:R53)</f>
        <v>29251146.510000005</v>
      </c>
      <c r="P53" s="35">
        <f>8095432.67+12503188.32+8289987.07+23938.94+338599.51</f>
        <v>29251146.510000005</v>
      </c>
      <c r="S53" s="8">
        <f t="shared" si="2"/>
        <v>0.20035031856164387</v>
      </c>
    </row>
    <row r="54" spans="1:19" ht="13.5" thickBot="1" x14ac:dyDescent="0.25">
      <c r="A54" s="75" t="s">
        <v>59</v>
      </c>
      <c r="B54" s="75"/>
      <c r="C54" s="80" t="s">
        <v>128</v>
      </c>
      <c r="D54" s="76">
        <f>SUM(E54:R54)</f>
        <v>74315486.019999996</v>
      </c>
      <c r="E54" s="77"/>
      <c r="F54" s="78"/>
      <c r="G54" s="78"/>
      <c r="H54" s="78"/>
      <c r="I54" s="78"/>
      <c r="J54" s="78"/>
      <c r="K54" s="78"/>
      <c r="L54" s="77"/>
      <c r="M54" s="77"/>
      <c r="N54" s="77"/>
      <c r="O54" s="78"/>
      <c r="P54" s="77"/>
      <c r="Q54" s="77"/>
      <c r="R54" s="77">
        <v>74315486.019999996</v>
      </c>
      <c r="S54" s="79">
        <f>D54/D9</f>
        <v>0.50901017821917804</v>
      </c>
    </row>
    <row r="55" spans="1:19" ht="13.5" thickTop="1" x14ac:dyDescent="0.2">
      <c r="A55" s="2" t="s">
        <v>12</v>
      </c>
      <c r="B55" s="56" t="s">
        <v>125</v>
      </c>
      <c r="C55" s="2" t="s">
        <v>46</v>
      </c>
      <c r="D55" s="35">
        <f>SUM(E55:Q55)</f>
        <v>13265004.609999999</v>
      </c>
      <c r="E55" s="47">
        <f>9312023.08+3952981.53</f>
        <v>13265004.609999999</v>
      </c>
      <c r="F55" s="46"/>
      <c r="G55" s="46"/>
      <c r="H55" s="46"/>
      <c r="I55" s="46"/>
      <c r="J55" s="46"/>
      <c r="K55" s="46"/>
      <c r="L55" s="47"/>
      <c r="M55" s="47"/>
      <c r="N55" s="47"/>
      <c r="O55" s="46"/>
      <c r="P55" s="47"/>
      <c r="Q55" s="47"/>
      <c r="R55" s="47"/>
      <c r="S55" s="8">
        <f>D55/$D$11</f>
        <v>0.165812557625</v>
      </c>
    </row>
    <row r="56" spans="1:19" x14ac:dyDescent="0.2">
      <c r="A56" s="2" t="s">
        <v>12</v>
      </c>
      <c r="B56" s="56" t="s">
        <v>126</v>
      </c>
      <c r="C56" s="2" t="s">
        <v>47</v>
      </c>
      <c r="D56" s="35">
        <f>SUM(E56:Q56)</f>
        <v>66734995.390000001</v>
      </c>
      <c r="E56" s="35">
        <f>20828474.09+43000000+2906521.3</f>
        <v>66734995.390000001</v>
      </c>
      <c r="S56" s="8">
        <f>D56/$D11</f>
        <v>0.83418744237499998</v>
      </c>
    </row>
    <row r="57" spans="1:19" x14ac:dyDescent="0.2"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9"/>
    </row>
    <row r="58" spans="1:19" s="8" customFormat="1" ht="13.5" thickBot="1" x14ac:dyDescent="0.25">
      <c r="B58" s="50"/>
      <c r="C58" s="51" t="s">
        <v>26</v>
      </c>
      <c r="D58" s="52"/>
      <c r="E58" s="53">
        <f>E5/D5</f>
        <v>0.43196332549586774</v>
      </c>
      <c r="F58" s="53">
        <f>F5/D5</f>
        <v>1.7021927272727274E-2</v>
      </c>
      <c r="G58" s="53">
        <f>G5/D5</f>
        <v>0</v>
      </c>
      <c r="H58" s="53">
        <f>H5/D5</f>
        <v>5.0146182644628104E-3</v>
      </c>
      <c r="I58" s="53">
        <f>I5/D5</f>
        <v>6.7915857314049588E-2</v>
      </c>
      <c r="J58" s="53">
        <f>J5/D5</f>
        <v>0</v>
      </c>
      <c r="K58" s="53">
        <f>K5/D5</f>
        <v>1.3143327809917355E-2</v>
      </c>
      <c r="L58" s="53">
        <f>L5/D5</f>
        <v>1.84928652892562E-3</v>
      </c>
      <c r="M58" s="53">
        <f>M5/D5</f>
        <v>2.5470240082644631E-3</v>
      </c>
      <c r="N58" s="53">
        <f>N5/D5</f>
        <v>4.8376579338842976E-3</v>
      </c>
      <c r="O58" s="53">
        <f>O5/D5</f>
        <v>1.9694821074380166E-3</v>
      </c>
      <c r="P58" s="53">
        <f>P5/D5</f>
        <v>0.13580286144628101</v>
      </c>
      <c r="Q58" s="53">
        <f>Q5/D5</f>
        <v>9.2517446280991741E-4</v>
      </c>
      <c r="R58" s="53"/>
      <c r="S58" s="53"/>
    </row>
    <row r="59" spans="1:19" s="8" customFormat="1" ht="13.5" thickTop="1" x14ac:dyDescent="0.2">
      <c r="A59" s="54"/>
      <c r="C59" s="51"/>
    </row>
  </sheetData>
  <pageMargins left="0" right="0" top="0.75" bottom="0.75" header="0.3" footer="0.3"/>
  <pageSetup paperSize="5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F7AAE-1FA8-44D4-8385-FA4880D27AF6}">
  <sheetPr>
    <tabColor theme="5" tint="0.79998168889431442"/>
  </sheetPr>
  <dimension ref="A1:V66"/>
  <sheetViews>
    <sheetView workbookViewId="0">
      <selection activeCell="U1" sqref="U1:V1048576"/>
    </sheetView>
  </sheetViews>
  <sheetFormatPr defaultRowHeight="12.75" x14ac:dyDescent="0.2"/>
  <cols>
    <col min="2" max="2" width="15.7109375" customWidth="1"/>
    <col min="3" max="3" width="36.5703125" customWidth="1"/>
    <col min="4" max="4" width="15.42578125" style="35" customWidth="1"/>
    <col min="5" max="5" width="14.42578125" style="35" customWidth="1"/>
    <col min="6" max="6" width="12.7109375" style="35" customWidth="1"/>
    <col min="7" max="7" width="10.85546875" style="35" customWidth="1"/>
    <col min="8" max="8" width="12.28515625" style="35" customWidth="1"/>
    <col min="9" max="9" width="13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4.28515625" style="35" customWidth="1"/>
    <col min="15" max="15" width="11.28515625" style="35" customWidth="1"/>
    <col min="16" max="16" width="14" style="35" customWidth="1"/>
    <col min="17" max="17" width="13.140625" style="35" customWidth="1"/>
    <col min="18" max="18" width="14.140625" style="35" customWidth="1"/>
    <col min="19" max="19" width="12.7109375" style="8" customWidth="1"/>
    <col min="20" max="20" width="10.28515625" bestFit="1" customWidth="1"/>
    <col min="21" max="21" width="11.28515625" style="8" bestFit="1" customWidth="1"/>
    <col min="22" max="22" width="11.7109375" customWidth="1"/>
  </cols>
  <sheetData>
    <row r="1" spans="1:22" x14ac:dyDescent="0.2">
      <c r="A1" s="63" t="s">
        <v>98</v>
      </c>
    </row>
    <row r="3" spans="1:22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22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22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104535124.77</v>
      </c>
      <c r="F5" s="43">
        <f t="shared" si="0"/>
        <v>4119306.4</v>
      </c>
      <c r="G5" s="43">
        <f t="shared" si="0"/>
        <v>0</v>
      </c>
      <c r="H5" s="43">
        <f t="shared" si="0"/>
        <v>1213537.6200000001</v>
      </c>
      <c r="I5" s="43">
        <f t="shared" si="0"/>
        <v>16435637.470000001</v>
      </c>
      <c r="J5" s="43">
        <f t="shared" si="0"/>
        <v>0</v>
      </c>
      <c r="K5" s="43">
        <f t="shared" si="0"/>
        <v>3180685.33</v>
      </c>
      <c r="L5" s="43">
        <f t="shared" si="0"/>
        <v>447527.34</v>
      </c>
      <c r="M5" s="43">
        <f t="shared" si="0"/>
        <v>616379.81000000006</v>
      </c>
      <c r="N5" s="43">
        <f t="shared" si="0"/>
        <v>1170713.22</v>
      </c>
      <c r="O5" s="43">
        <f t="shared" si="0"/>
        <v>476614.67000000004</v>
      </c>
      <c r="P5" s="43">
        <f t="shared" si="0"/>
        <v>32864292.470000006</v>
      </c>
      <c r="Q5" s="43">
        <f t="shared" si="0"/>
        <v>223892.22</v>
      </c>
      <c r="R5" s="43">
        <f t="shared" si="0"/>
        <v>76716288.680000007</v>
      </c>
      <c r="S5" s="44"/>
      <c r="U5" s="130"/>
    </row>
    <row r="6" spans="1:22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  <c r="U6" s="55"/>
    </row>
    <row r="7" spans="1:22" s="42" customFormat="1" ht="13.5" thickBot="1" x14ac:dyDescent="0.25">
      <c r="B7" s="47"/>
      <c r="C7" s="74" t="s">
        <v>81</v>
      </c>
      <c r="D7" s="43">
        <f>SUM(E7:R7)</f>
        <v>16000000</v>
      </c>
      <c r="E7" s="43">
        <f>E15+E16</f>
        <v>4103709.37</v>
      </c>
      <c r="F7" s="43">
        <f>F17</f>
        <v>1148951.21</v>
      </c>
      <c r="G7" s="43"/>
      <c r="H7" s="43">
        <f>H18+H19</f>
        <v>787684.7</v>
      </c>
      <c r="I7" s="43">
        <f>I20</f>
        <v>70832.05</v>
      </c>
      <c r="J7" s="43">
        <f>J21</f>
        <v>0</v>
      </c>
      <c r="K7" s="43">
        <f>K22</f>
        <v>194774.13</v>
      </c>
      <c r="L7" s="43">
        <f>L23</f>
        <v>447527.34</v>
      </c>
      <c r="M7" s="43">
        <f>M25+M26</f>
        <v>616379.81000000006</v>
      </c>
      <c r="N7" s="43">
        <f>N27</f>
        <v>273897.21999999997</v>
      </c>
      <c r="O7" s="43">
        <f>O28</f>
        <v>476614.67000000004</v>
      </c>
      <c r="P7" s="43">
        <f>P30</f>
        <v>2300362.4400000004</v>
      </c>
      <c r="Q7" s="43">
        <f>Q31</f>
        <v>223892.22</v>
      </c>
      <c r="R7" s="43">
        <f>R32</f>
        <v>5355374.84</v>
      </c>
      <c r="S7" s="44">
        <f>SUM(S15:S32)</f>
        <v>1</v>
      </c>
      <c r="U7" s="55"/>
    </row>
    <row r="8" spans="1:22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  <c r="U8" s="55"/>
    </row>
    <row r="9" spans="1:22" s="42" customFormat="1" ht="13.5" thickBot="1" x14ac:dyDescent="0.25">
      <c r="B9" s="47"/>
      <c r="C9" s="74" t="s">
        <v>82</v>
      </c>
      <c r="D9" s="43">
        <f>SUM(E9:R9)</f>
        <v>146000000</v>
      </c>
      <c r="E9" s="43">
        <f>E35+E36+E37+E39+E53</f>
        <v>20431415.399999999</v>
      </c>
      <c r="F9" s="43">
        <f>F54+F33</f>
        <v>2970355.19</v>
      </c>
      <c r="G9" s="43"/>
      <c r="H9" s="43">
        <f>H45+H44</f>
        <v>425852.92000000004</v>
      </c>
      <c r="I9" s="43">
        <f>I46+I47+I55+I56+I57+I48</f>
        <v>16364805.42</v>
      </c>
      <c r="J9" s="43">
        <v>0</v>
      </c>
      <c r="K9" s="43">
        <f>K49</f>
        <v>2985911.2</v>
      </c>
      <c r="L9" s="43">
        <v>0</v>
      </c>
      <c r="M9" s="43">
        <v>0</v>
      </c>
      <c r="N9" s="43">
        <f>N50+N58</f>
        <v>896816</v>
      </c>
      <c r="O9" s="43"/>
      <c r="P9" s="43">
        <f>P59+P60</f>
        <v>30563930.030000005</v>
      </c>
      <c r="Q9" s="43">
        <v>0</v>
      </c>
      <c r="R9" s="43">
        <f>R61</f>
        <v>71360913.840000004</v>
      </c>
      <c r="S9" s="44">
        <f>SUM(S33:S61)</f>
        <v>1</v>
      </c>
      <c r="U9" s="55"/>
    </row>
    <row r="10" spans="1:22" ht="13.5" thickTop="1" x14ac:dyDescent="0.2">
      <c r="A10" s="45"/>
      <c r="B10" s="2"/>
      <c r="C10" s="115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2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E62+E63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S62+S63</f>
        <v>1</v>
      </c>
    </row>
    <row r="12" spans="1:22" ht="13.5" thickTop="1" x14ac:dyDescent="0.2">
      <c r="A12" s="45"/>
      <c r="B12" s="2"/>
      <c r="C12" s="74"/>
      <c r="D12" s="47"/>
      <c r="E12" s="47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55"/>
    </row>
    <row r="13" spans="1:22" x14ac:dyDescent="0.2">
      <c r="C13" s="35"/>
    </row>
    <row r="14" spans="1:22" x14ac:dyDescent="0.2">
      <c r="A14" s="45"/>
      <c r="B14" s="2"/>
      <c r="C14" s="2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</row>
    <row r="15" spans="1:22" x14ac:dyDescent="0.2">
      <c r="A15" s="56" t="s">
        <v>12</v>
      </c>
      <c r="B15" s="56" t="s">
        <v>91</v>
      </c>
      <c r="C15" s="56" t="s">
        <v>35</v>
      </c>
      <c r="D15" s="35">
        <f t="shared" ref="D15:D30" si="1">SUM(E15:R15)</f>
        <v>4021524.18</v>
      </c>
      <c r="E15" s="47">
        <v>4021524.18</v>
      </c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8">
        <f>D15/D7</f>
        <v>0.25134526125000001</v>
      </c>
      <c r="V15" s="8"/>
    </row>
    <row r="16" spans="1:22" x14ac:dyDescent="0.2">
      <c r="A16" s="56" t="s">
        <v>12</v>
      </c>
      <c r="B16" s="56" t="s">
        <v>40</v>
      </c>
      <c r="C16" s="56" t="s">
        <v>39</v>
      </c>
      <c r="D16" s="35">
        <f t="shared" si="1"/>
        <v>82185.19</v>
      </c>
      <c r="E16" s="47">
        <f>82185.19</f>
        <v>82185.19</v>
      </c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5.1365743750000003E-3</v>
      </c>
      <c r="V16" s="8"/>
    </row>
    <row r="17" spans="1:22" x14ac:dyDescent="0.2">
      <c r="A17" s="116" t="s">
        <v>13</v>
      </c>
      <c r="B17" s="117" t="s">
        <v>122</v>
      </c>
      <c r="C17" s="117" t="s">
        <v>35</v>
      </c>
      <c r="D17" s="126">
        <f t="shared" si="1"/>
        <v>1148951.21</v>
      </c>
      <c r="E17" s="118"/>
      <c r="F17" s="118">
        <f>2954572.18+13642.36+429913.98+44849+464439.21+182030.89+10483.21+87.36+2590.32+679.68+235.2-2954572.18</f>
        <v>1148951.21</v>
      </c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119">
        <f>D17/D7</f>
        <v>7.1809450624999993E-2</v>
      </c>
      <c r="V17" s="8"/>
    </row>
    <row r="18" spans="1:22" x14ac:dyDescent="0.2">
      <c r="A18" s="2" t="s">
        <v>15</v>
      </c>
      <c r="B18" s="56" t="s">
        <v>118</v>
      </c>
      <c r="C18" s="56" t="s">
        <v>35</v>
      </c>
      <c r="D18" s="35">
        <f t="shared" si="1"/>
        <v>245682.72</v>
      </c>
      <c r="E18" s="47"/>
      <c r="F18" s="47"/>
      <c r="G18" s="46"/>
      <c r="H18" s="47">
        <f>241109.89+4572.83</f>
        <v>245682.72</v>
      </c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1.535517E-2</v>
      </c>
      <c r="V18" s="8"/>
    </row>
    <row r="19" spans="1:22" x14ac:dyDescent="0.2">
      <c r="A19" s="56" t="s">
        <v>15</v>
      </c>
      <c r="B19" s="56" t="s">
        <v>117</v>
      </c>
      <c r="C19" s="56" t="s">
        <v>39</v>
      </c>
      <c r="D19" s="35">
        <f t="shared" si="1"/>
        <v>542001.98</v>
      </c>
      <c r="E19" s="47"/>
      <c r="F19" s="47"/>
      <c r="G19" s="46"/>
      <c r="H19" s="47">
        <f>483595.97+58406.01</f>
        <v>542001.98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8">
        <f>D19/D7</f>
        <v>3.387512375E-2</v>
      </c>
      <c r="V19" s="8"/>
    </row>
    <row r="20" spans="1:22" x14ac:dyDescent="0.2">
      <c r="A20" s="2" t="s">
        <v>16</v>
      </c>
      <c r="B20" s="56" t="s">
        <v>115</v>
      </c>
      <c r="C20" s="56" t="s">
        <v>35</v>
      </c>
      <c r="D20" s="35">
        <f t="shared" si="1"/>
        <v>70832.05</v>
      </c>
      <c r="E20" s="47"/>
      <c r="F20" s="47"/>
      <c r="G20" s="46"/>
      <c r="H20" s="47"/>
      <c r="I20" s="47">
        <f>70832.05</f>
        <v>70832.05</v>
      </c>
      <c r="J20" s="46"/>
      <c r="K20" s="46"/>
      <c r="L20" s="46"/>
      <c r="M20" s="46"/>
      <c r="N20" s="46"/>
      <c r="O20" s="46"/>
      <c r="P20" s="46"/>
      <c r="Q20" s="46"/>
      <c r="R20" s="46"/>
      <c r="S20" s="8">
        <f>D20/D7</f>
        <v>4.4270031250000005E-3</v>
      </c>
      <c r="V20" s="8"/>
    </row>
    <row r="21" spans="1:22" hidden="1" x14ac:dyDescent="0.2">
      <c r="A21" s="2" t="s">
        <v>17</v>
      </c>
      <c r="B21" s="56" t="s">
        <v>65</v>
      </c>
      <c r="C21" s="56" t="s">
        <v>35</v>
      </c>
      <c r="D21" s="35">
        <f t="shared" si="1"/>
        <v>0</v>
      </c>
      <c r="E21" s="47"/>
      <c r="F21" s="47"/>
      <c r="G21" s="46"/>
      <c r="H21" s="47"/>
      <c r="I21" s="46"/>
      <c r="J21" s="47"/>
      <c r="K21" s="47"/>
      <c r="L21" s="46"/>
      <c r="M21" s="46"/>
      <c r="N21" s="46"/>
      <c r="O21" s="46"/>
      <c r="P21" s="46"/>
      <c r="Q21" s="46"/>
      <c r="R21" s="46"/>
      <c r="S21" s="8">
        <f>D21/D7</f>
        <v>0</v>
      </c>
      <c r="V21" s="8"/>
    </row>
    <row r="22" spans="1:22" x14ac:dyDescent="0.2">
      <c r="A22" s="2" t="s">
        <v>59</v>
      </c>
      <c r="B22" s="56" t="s">
        <v>136</v>
      </c>
      <c r="C22" s="56" t="s">
        <v>39</v>
      </c>
      <c r="D22" s="35">
        <f t="shared" si="1"/>
        <v>194774.13</v>
      </c>
      <c r="E22" s="47"/>
      <c r="F22" s="47"/>
      <c r="G22" s="46"/>
      <c r="H22" s="47"/>
      <c r="I22" s="46"/>
      <c r="J22" s="47"/>
      <c r="K22" s="47">
        <f>10347.98+184426.15</f>
        <v>194774.13</v>
      </c>
      <c r="L22" s="46"/>
      <c r="M22" s="46"/>
      <c r="N22" s="46"/>
      <c r="O22" s="46"/>
      <c r="P22" s="46"/>
      <c r="Q22" s="46"/>
      <c r="R22" s="46"/>
      <c r="S22" s="8">
        <f>D22/D7</f>
        <v>1.2173383125000001E-2</v>
      </c>
      <c r="V22" s="8"/>
    </row>
    <row r="23" spans="1:22" x14ac:dyDescent="0.2">
      <c r="A23" s="2" t="s">
        <v>18</v>
      </c>
      <c r="B23" s="56" t="s">
        <v>113</v>
      </c>
      <c r="C23" s="56" t="s">
        <v>35</v>
      </c>
      <c r="D23" s="35">
        <f t="shared" si="1"/>
        <v>447527.34</v>
      </c>
      <c r="E23" s="47"/>
      <c r="F23" s="47"/>
      <c r="G23" s="46"/>
      <c r="H23" s="47"/>
      <c r="I23" s="46"/>
      <c r="J23" s="47"/>
      <c r="K23" s="47"/>
      <c r="L23" s="47">
        <f>447527.34</f>
        <v>447527.34</v>
      </c>
      <c r="M23" s="46"/>
      <c r="N23" s="46"/>
      <c r="O23" s="46"/>
      <c r="P23" s="46"/>
      <c r="Q23" s="46"/>
      <c r="R23" s="46"/>
      <c r="S23" s="8">
        <f>D23/D7</f>
        <v>2.7970458750000003E-2</v>
      </c>
      <c r="V23" s="8"/>
    </row>
    <row r="24" spans="1:22" hidden="1" x14ac:dyDescent="0.2">
      <c r="A24" s="2" t="s">
        <v>18</v>
      </c>
      <c r="B24" s="2" t="s">
        <v>41</v>
      </c>
      <c r="C24" s="2" t="s">
        <v>42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6"/>
      <c r="N24" s="46"/>
      <c r="O24" s="46"/>
      <c r="P24" s="46"/>
      <c r="Q24" s="46"/>
      <c r="R24" s="46"/>
      <c r="S24" s="8">
        <f>D24/D18</f>
        <v>0</v>
      </c>
      <c r="V24" s="8"/>
    </row>
    <row r="25" spans="1:22" x14ac:dyDescent="0.2">
      <c r="A25" s="2" t="s">
        <v>19</v>
      </c>
      <c r="B25" s="56" t="s">
        <v>116</v>
      </c>
      <c r="C25" s="56" t="s">
        <v>35</v>
      </c>
      <c r="D25" s="35">
        <f t="shared" si="1"/>
        <v>616379.81000000006</v>
      </c>
      <c r="E25" s="47"/>
      <c r="F25" s="46"/>
      <c r="G25" s="46"/>
      <c r="H25" s="46"/>
      <c r="I25" s="46"/>
      <c r="J25" s="46"/>
      <c r="K25" s="46"/>
      <c r="L25" s="47"/>
      <c r="M25" s="47">
        <f>58386.27+309000+248993.54</f>
        <v>616379.81000000006</v>
      </c>
      <c r="N25" s="46"/>
      <c r="O25" s="46"/>
      <c r="P25" s="46"/>
      <c r="Q25" s="46"/>
      <c r="R25" s="46"/>
      <c r="S25" s="8">
        <f>D25/D7</f>
        <v>3.8523738125000005E-2</v>
      </c>
      <c r="V25" s="8"/>
    </row>
    <row r="26" spans="1:22" hidden="1" x14ac:dyDescent="0.2">
      <c r="A26" s="56" t="s">
        <v>19</v>
      </c>
      <c r="B26" s="56" t="s">
        <v>85</v>
      </c>
      <c r="C26" s="56" t="s">
        <v>39</v>
      </c>
      <c r="D26" s="35">
        <f t="shared" si="1"/>
        <v>0</v>
      </c>
      <c r="E26" s="47"/>
      <c r="F26" s="46"/>
      <c r="G26" s="46"/>
      <c r="H26" s="46"/>
      <c r="I26" s="46"/>
      <c r="J26" s="46"/>
      <c r="K26" s="46"/>
      <c r="L26" s="47"/>
      <c r="M26" s="47"/>
      <c r="N26" s="46"/>
      <c r="O26" s="46"/>
      <c r="P26" s="46"/>
      <c r="Q26" s="46"/>
      <c r="R26" s="46"/>
      <c r="S26" s="8">
        <f>D26/D7</f>
        <v>0</v>
      </c>
      <c r="V26" s="8"/>
    </row>
    <row r="27" spans="1:22" x14ac:dyDescent="0.2">
      <c r="A27" s="2" t="s">
        <v>20</v>
      </c>
      <c r="B27" s="56" t="s">
        <v>119</v>
      </c>
      <c r="C27" s="56" t="s">
        <v>35</v>
      </c>
      <c r="D27" s="35">
        <f t="shared" si="1"/>
        <v>273897.21999999997</v>
      </c>
      <c r="E27" s="47"/>
      <c r="F27" s="46"/>
      <c r="G27" s="46"/>
      <c r="H27" s="46"/>
      <c r="I27" s="46"/>
      <c r="J27" s="46"/>
      <c r="K27" s="46"/>
      <c r="L27" s="47"/>
      <c r="M27" s="47"/>
      <c r="N27" s="47">
        <f>82202.1+179395.12+12300</f>
        <v>273897.21999999997</v>
      </c>
      <c r="O27" s="46"/>
      <c r="P27" s="46"/>
      <c r="Q27" s="46"/>
      <c r="R27" s="46"/>
      <c r="S27" s="8">
        <f>D27/D7</f>
        <v>1.711857625E-2</v>
      </c>
      <c r="V27" s="8"/>
    </row>
    <row r="28" spans="1:22" x14ac:dyDescent="0.2">
      <c r="A28" s="2" t="s">
        <v>21</v>
      </c>
      <c r="B28" s="56" t="s">
        <v>116</v>
      </c>
      <c r="C28" s="56" t="s">
        <v>35</v>
      </c>
      <c r="D28" s="35">
        <f t="shared" si="1"/>
        <v>476614.67000000004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7">
        <f>139427.26+147949.31+189238.1</f>
        <v>476614.67000000004</v>
      </c>
      <c r="P28" s="46"/>
      <c r="Q28" s="46"/>
      <c r="R28" s="46"/>
      <c r="S28" s="8">
        <f>D28/D7</f>
        <v>2.9788416875000001E-2</v>
      </c>
      <c r="V28" s="8"/>
    </row>
    <row r="29" spans="1:22" hidden="1" x14ac:dyDescent="0.2">
      <c r="A29" s="2" t="s">
        <v>21</v>
      </c>
      <c r="B29" s="2" t="s">
        <v>36</v>
      </c>
      <c r="C29" s="2" t="s">
        <v>38</v>
      </c>
      <c r="D29" s="35">
        <f t="shared" si="1"/>
        <v>0</v>
      </c>
      <c r="E29" s="47"/>
      <c r="F29" s="46"/>
      <c r="G29" s="46"/>
      <c r="H29" s="46"/>
      <c r="I29" s="46"/>
      <c r="J29" s="46"/>
      <c r="K29" s="46"/>
      <c r="L29" s="47"/>
      <c r="M29" s="47"/>
      <c r="N29" s="47"/>
      <c r="O29" s="47"/>
      <c r="P29" s="46"/>
      <c r="Q29" s="46"/>
      <c r="R29" s="46"/>
      <c r="S29" s="8">
        <f>D29/D25</f>
        <v>0</v>
      </c>
      <c r="V29" s="8"/>
    </row>
    <row r="30" spans="1:22" x14ac:dyDescent="0.2">
      <c r="A30" s="2" t="s">
        <v>22</v>
      </c>
      <c r="B30" s="56" t="s">
        <v>123</v>
      </c>
      <c r="C30" s="56" t="s">
        <v>35</v>
      </c>
      <c r="D30" s="35">
        <f t="shared" si="1"/>
        <v>2300362.4400000004</v>
      </c>
      <c r="E30" s="47"/>
      <c r="F30" s="46"/>
      <c r="G30" s="46"/>
      <c r="H30" s="46"/>
      <c r="I30" s="46"/>
      <c r="J30" s="46"/>
      <c r="K30" s="46"/>
      <c r="L30" s="47"/>
      <c r="M30" s="47"/>
      <c r="N30" s="47"/>
      <c r="O30" s="46"/>
      <c r="P30" s="47">
        <f>330219.02+766792.61+575307.35+513210.16+104524.91+10018.39+290</f>
        <v>2300362.4400000004</v>
      </c>
      <c r="Q30" s="46"/>
      <c r="R30" s="46"/>
      <c r="S30" s="8">
        <f>D30/D7</f>
        <v>0.14377265250000001</v>
      </c>
      <c r="V30" s="8"/>
    </row>
    <row r="31" spans="1:22" x14ac:dyDescent="0.2">
      <c r="A31" s="2" t="s">
        <v>23</v>
      </c>
      <c r="B31" s="56" t="s">
        <v>121</v>
      </c>
      <c r="C31" s="56" t="s">
        <v>35</v>
      </c>
      <c r="D31" s="35">
        <f>SUM(E31:R31)</f>
        <v>223892.22</v>
      </c>
      <c r="E31" s="47"/>
      <c r="F31" s="46"/>
      <c r="G31" s="46"/>
      <c r="H31" s="46"/>
      <c r="I31" s="46"/>
      <c r="J31" s="46"/>
      <c r="K31" s="46"/>
      <c r="L31" s="47"/>
      <c r="M31" s="47"/>
      <c r="N31" s="47"/>
      <c r="O31" s="46"/>
      <c r="P31" s="47"/>
      <c r="Q31" s="47">
        <f>125848.57+8196.4+75671.25+14176</f>
        <v>223892.22</v>
      </c>
      <c r="R31" s="47"/>
      <c r="S31" s="8">
        <f>D31/D7</f>
        <v>1.399326375E-2</v>
      </c>
      <c r="V31" s="8"/>
    </row>
    <row r="32" spans="1:22" ht="13.5" thickBot="1" x14ac:dyDescent="0.25">
      <c r="A32" s="75" t="s">
        <v>59</v>
      </c>
      <c r="B32" s="75"/>
      <c r="C32" s="80" t="s">
        <v>128</v>
      </c>
      <c r="D32" s="76">
        <f>16000000-SUM(D15:D31)</f>
        <v>5355374.84</v>
      </c>
      <c r="E32" s="77"/>
      <c r="F32" s="78"/>
      <c r="G32" s="78"/>
      <c r="H32" s="78"/>
      <c r="I32" s="78"/>
      <c r="J32" s="78"/>
      <c r="K32" s="78"/>
      <c r="L32" s="77"/>
      <c r="M32" s="77"/>
      <c r="N32" s="77"/>
      <c r="O32" s="78"/>
      <c r="P32" s="77"/>
      <c r="Q32" s="77"/>
      <c r="R32" s="77">
        <f>16000000-SUM(D15:D31)</f>
        <v>5355374.84</v>
      </c>
      <c r="S32" s="129">
        <f>D32/D7</f>
        <v>0.33471092749999998</v>
      </c>
      <c r="V32" s="8"/>
    </row>
    <row r="33" spans="1:22" ht="13.5" thickTop="1" x14ac:dyDescent="0.2">
      <c r="A33" s="116" t="s">
        <v>13</v>
      </c>
      <c r="B33" s="116" t="s">
        <v>154</v>
      </c>
      <c r="C33" s="117" t="s">
        <v>155</v>
      </c>
      <c r="D33" s="126">
        <f>SUM(E33:Q33)</f>
        <v>2954572.18</v>
      </c>
      <c r="E33" s="118"/>
      <c r="F33" s="118">
        <v>2954572.18</v>
      </c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119">
        <f>D33/$D$9</f>
        <v>2.0236795753424658E-2</v>
      </c>
      <c r="V33" s="8"/>
    </row>
    <row r="34" spans="1:22" x14ac:dyDescent="0.2">
      <c r="A34" s="56"/>
      <c r="B34" s="56"/>
      <c r="C34" s="120"/>
      <c r="E34" s="47"/>
      <c r="F34" s="46"/>
      <c r="G34" s="46"/>
      <c r="H34" s="46"/>
      <c r="I34" s="46"/>
      <c r="J34" s="46"/>
      <c r="K34" s="46"/>
      <c r="L34" s="47"/>
      <c r="M34" s="47"/>
      <c r="N34" s="47"/>
      <c r="O34" s="46"/>
      <c r="P34" s="47"/>
      <c r="Q34" s="47"/>
      <c r="R34" s="47"/>
    </row>
    <row r="35" spans="1:22" x14ac:dyDescent="0.2">
      <c r="A35" s="110" t="s">
        <v>12</v>
      </c>
      <c r="B35" s="110" t="s">
        <v>112</v>
      </c>
      <c r="C35" s="110" t="s">
        <v>156</v>
      </c>
      <c r="D35" s="111">
        <f>SUM(E35:Q35)</f>
        <v>6775617.6699999999</v>
      </c>
      <c r="E35" s="112">
        <f>6775617.67</f>
        <v>6775617.6699999999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>D35/$D$9</f>
        <v>4.6408340205479452E-2</v>
      </c>
      <c r="V35" s="8"/>
    </row>
    <row r="36" spans="1:22" x14ac:dyDescent="0.2">
      <c r="A36" s="110" t="s">
        <v>12</v>
      </c>
      <c r="B36" s="110" t="s">
        <v>112</v>
      </c>
      <c r="C36" s="110" t="s">
        <v>157</v>
      </c>
      <c r="D36" s="111">
        <f>SUM(E36:Q36)</f>
        <v>10272617.09</v>
      </c>
      <c r="E36" s="112">
        <f>10272617.09</f>
        <v>10272617.09</v>
      </c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8">
        <f>D36/$D$9</f>
        <v>7.0360391027397259E-2</v>
      </c>
      <c r="V36" s="8"/>
    </row>
    <row r="37" spans="1:22" x14ac:dyDescent="0.2">
      <c r="A37" s="110" t="s">
        <v>12</v>
      </c>
      <c r="B37" s="110" t="s">
        <v>112</v>
      </c>
      <c r="C37" s="110" t="s">
        <v>158</v>
      </c>
      <c r="D37" s="111">
        <f>SUM(E37:Q37)</f>
        <v>2287613.69</v>
      </c>
      <c r="E37" s="112">
        <f>2287613.69</f>
        <v>2287613.69</v>
      </c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>D37/$D$9</f>
        <v>1.566858691780822E-2</v>
      </c>
      <c r="V37" s="8"/>
    </row>
    <row r="38" spans="1:22" x14ac:dyDescent="0.2">
      <c r="A38" s="56"/>
      <c r="B38" s="56"/>
      <c r="C38" s="56"/>
      <c r="E38" s="47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</row>
    <row r="39" spans="1:22" x14ac:dyDescent="0.2">
      <c r="A39" s="56" t="s">
        <v>12</v>
      </c>
      <c r="B39" s="56" t="s">
        <v>120</v>
      </c>
      <c r="C39" s="56" t="s">
        <v>37</v>
      </c>
      <c r="D39" s="35">
        <f t="shared" ref="D39:D59" si="2">SUM(E39:Q39)</f>
        <v>1062920.72</v>
      </c>
      <c r="E39" s="47">
        <f>740590.4+322330.32</f>
        <v>1062920.72</v>
      </c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ref="S39:S60" si="3">D39/$D$9</f>
        <v>7.2802789041095887E-3</v>
      </c>
      <c r="V39" s="8"/>
    </row>
    <row r="40" spans="1:22" hidden="1" x14ac:dyDescent="0.2">
      <c r="A40" s="56" t="s">
        <v>12</v>
      </c>
      <c r="B40" s="56"/>
      <c r="C40" s="56"/>
      <c r="D40" s="35">
        <f t="shared" si="2"/>
        <v>0</v>
      </c>
      <c r="E40" s="47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3"/>
        <v>0</v>
      </c>
      <c r="V40" s="8"/>
    </row>
    <row r="41" spans="1:22" hidden="1" x14ac:dyDescent="0.2">
      <c r="A41" s="56" t="s">
        <v>12</v>
      </c>
      <c r="B41" s="56"/>
      <c r="C41" s="56"/>
      <c r="D41" s="35">
        <f t="shared" si="2"/>
        <v>0</v>
      </c>
      <c r="E41" s="47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3"/>
        <v>0</v>
      </c>
      <c r="V41" s="8"/>
    </row>
    <row r="42" spans="1:22" hidden="1" x14ac:dyDescent="0.2">
      <c r="A42" s="2" t="s">
        <v>13</v>
      </c>
      <c r="B42" s="56" t="s">
        <v>43</v>
      </c>
      <c r="C42" s="2" t="s">
        <v>39</v>
      </c>
      <c r="D42" s="35">
        <f t="shared" si="2"/>
        <v>0</v>
      </c>
      <c r="E42" s="47"/>
      <c r="F42" s="47"/>
      <c r="G42" s="47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3"/>
        <v>0</v>
      </c>
      <c r="V42" s="8"/>
    </row>
    <row r="43" spans="1:22" hidden="1" x14ac:dyDescent="0.2">
      <c r="A43" s="2" t="s">
        <v>14</v>
      </c>
      <c r="B43" s="56" t="s">
        <v>44</v>
      </c>
      <c r="C43" s="2" t="s">
        <v>39</v>
      </c>
      <c r="D43" s="35">
        <f t="shared" si="2"/>
        <v>0</v>
      </c>
      <c r="E43" s="47"/>
      <c r="F43" s="47"/>
      <c r="G43" s="47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8">
        <f t="shared" si="3"/>
        <v>0</v>
      </c>
      <c r="V43" s="8"/>
    </row>
    <row r="44" spans="1:22" x14ac:dyDescent="0.2">
      <c r="A44" s="2" t="s">
        <v>15</v>
      </c>
      <c r="B44" s="56" t="s">
        <v>57</v>
      </c>
      <c r="C44" s="56" t="s">
        <v>62</v>
      </c>
      <c r="D44" s="35">
        <f t="shared" si="2"/>
        <v>290579.45</v>
      </c>
      <c r="E44" s="47"/>
      <c r="F44" s="47"/>
      <c r="G44" s="46"/>
      <c r="H44" s="47">
        <f>290579.45</f>
        <v>290579.45</v>
      </c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8">
        <f t="shared" si="3"/>
        <v>1.9902702054794522E-3</v>
      </c>
      <c r="V44" s="8"/>
    </row>
    <row r="45" spans="1:22" x14ac:dyDescent="0.2">
      <c r="A45" s="56" t="s">
        <v>15</v>
      </c>
      <c r="B45" s="56" t="s">
        <v>114</v>
      </c>
      <c r="C45" s="56" t="s">
        <v>58</v>
      </c>
      <c r="D45" s="35">
        <f>SUM(E45:Q45)</f>
        <v>135273.47</v>
      </c>
      <c r="E45" s="47"/>
      <c r="F45" s="47"/>
      <c r="G45" s="46"/>
      <c r="H45" s="47">
        <f>40112.63+95160.84</f>
        <v>135273.47</v>
      </c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8">
        <f t="shared" si="3"/>
        <v>9.2653061643835615E-4</v>
      </c>
      <c r="V45" s="8"/>
    </row>
    <row r="46" spans="1:22" x14ac:dyDescent="0.2">
      <c r="A46" s="56" t="s">
        <v>83</v>
      </c>
      <c r="B46" s="56" t="s">
        <v>60</v>
      </c>
      <c r="C46" s="56" t="s">
        <v>84</v>
      </c>
      <c r="D46" s="35">
        <f t="shared" si="2"/>
        <v>1373356.81</v>
      </c>
      <c r="E46" s="47"/>
      <c r="F46" s="47"/>
      <c r="G46" s="46"/>
      <c r="H46" s="47"/>
      <c r="I46" s="47">
        <f>1373356.81</f>
        <v>1373356.81</v>
      </c>
      <c r="J46" s="46"/>
      <c r="K46" s="46"/>
      <c r="L46" s="46"/>
      <c r="M46" s="46"/>
      <c r="N46" s="46"/>
      <c r="O46" s="46"/>
      <c r="P46" s="46"/>
      <c r="Q46" s="46"/>
      <c r="R46" s="46"/>
      <c r="S46" s="8">
        <f t="shared" si="3"/>
        <v>9.406553493150685E-3</v>
      </c>
      <c r="V46" s="8"/>
    </row>
    <row r="47" spans="1:22" x14ac:dyDescent="0.2">
      <c r="A47" s="56" t="s">
        <v>16</v>
      </c>
      <c r="B47" s="56" t="s">
        <v>56</v>
      </c>
      <c r="C47" s="56" t="s">
        <v>64</v>
      </c>
      <c r="D47" s="35">
        <f t="shared" si="2"/>
        <v>101099.84</v>
      </c>
      <c r="E47" s="47"/>
      <c r="F47" s="47"/>
      <c r="G47" s="46"/>
      <c r="H47" s="47"/>
      <c r="I47" s="47">
        <f>101099.84</f>
        <v>101099.84</v>
      </c>
      <c r="J47" s="46"/>
      <c r="K47" s="46"/>
      <c r="L47" s="46"/>
      <c r="M47" s="46"/>
      <c r="N47" s="46"/>
      <c r="O47" s="46"/>
      <c r="P47" s="46"/>
      <c r="Q47" s="46"/>
      <c r="R47" s="46"/>
      <c r="S47" s="8">
        <f t="shared" si="3"/>
        <v>6.9246465753424651E-4</v>
      </c>
      <c r="V47" s="8"/>
    </row>
    <row r="48" spans="1:22" hidden="1" x14ac:dyDescent="0.2">
      <c r="A48" s="56" t="s">
        <v>16</v>
      </c>
      <c r="B48" s="56" t="s">
        <v>93</v>
      </c>
      <c r="C48" s="56" t="s">
        <v>94</v>
      </c>
      <c r="D48" s="35">
        <f t="shared" si="2"/>
        <v>0</v>
      </c>
      <c r="E48" s="47"/>
      <c r="F48" s="47"/>
      <c r="G48" s="46"/>
      <c r="H48" s="47"/>
      <c r="I48" s="47"/>
      <c r="J48" s="46"/>
      <c r="K48" s="46"/>
      <c r="L48" s="46"/>
      <c r="M48" s="46"/>
      <c r="N48" s="46"/>
      <c r="O48" s="46"/>
      <c r="P48" s="46"/>
      <c r="Q48" s="46"/>
      <c r="R48" s="46"/>
      <c r="S48" s="8">
        <f t="shared" si="3"/>
        <v>0</v>
      </c>
      <c r="V48" s="8"/>
    </row>
    <row r="49" spans="1:22" x14ac:dyDescent="0.2">
      <c r="A49" s="2" t="s">
        <v>59</v>
      </c>
      <c r="B49" s="56" t="s">
        <v>57</v>
      </c>
      <c r="C49" s="56" t="s">
        <v>63</v>
      </c>
      <c r="D49" s="35">
        <f t="shared" si="2"/>
        <v>2985911.2</v>
      </c>
      <c r="E49" s="47"/>
      <c r="F49" s="47"/>
      <c r="G49" s="46"/>
      <c r="H49" s="47"/>
      <c r="I49" s="46"/>
      <c r="J49" s="47"/>
      <c r="K49" s="47">
        <f>2985911.2</f>
        <v>2985911.2</v>
      </c>
      <c r="L49" s="46"/>
      <c r="M49" s="46"/>
      <c r="N49" s="46"/>
      <c r="O49" s="46"/>
      <c r="P49" s="46"/>
      <c r="Q49" s="46"/>
      <c r="R49" s="46"/>
      <c r="S49" s="8">
        <f t="shared" si="3"/>
        <v>2.0451446575342466E-2</v>
      </c>
      <c r="V49" s="8"/>
    </row>
    <row r="50" spans="1:22" x14ac:dyDescent="0.2">
      <c r="A50" s="86" t="s">
        <v>20</v>
      </c>
      <c r="B50" s="81" t="s">
        <v>91</v>
      </c>
      <c r="C50" s="81" t="s">
        <v>92</v>
      </c>
      <c r="D50" s="48">
        <f>SUM(E50:Q50)</f>
        <v>327298.65000000002</v>
      </c>
      <c r="E50" s="82"/>
      <c r="F50" s="83"/>
      <c r="G50" s="83"/>
      <c r="H50" s="83"/>
      <c r="I50" s="83"/>
      <c r="J50" s="83"/>
      <c r="K50" s="83"/>
      <c r="L50" s="82"/>
      <c r="M50" s="82"/>
      <c r="N50" s="82">
        <f>327298.65</f>
        <v>327298.65000000002</v>
      </c>
      <c r="O50" s="83"/>
      <c r="P50" s="83"/>
      <c r="Q50" s="83"/>
      <c r="R50" s="83"/>
      <c r="S50" s="49">
        <f t="shared" si="3"/>
        <v>2.241771575342466E-3</v>
      </c>
      <c r="T50" s="8"/>
      <c r="V50" s="8"/>
    </row>
    <row r="52" spans="1:22" x14ac:dyDescent="0.2">
      <c r="A52" s="2"/>
      <c r="B52" s="56"/>
      <c r="C52" s="56"/>
      <c r="E52" s="47"/>
      <c r="F52" s="46"/>
      <c r="G52" s="46"/>
      <c r="H52" s="46"/>
      <c r="I52" s="46"/>
      <c r="J52" s="46"/>
      <c r="K52" s="46"/>
      <c r="L52" s="47"/>
      <c r="M52" s="47"/>
      <c r="N52" s="47"/>
      <c r="O52" s="46"/>
      <c r="P52" s="46"/>
      <c r="Q52" s="46"/>
      <c r="R52" s="46"/>
      <c r="T52" s="8"/>
    </row>
    <row r="53" spans="1:22" x14ac:dyDescent="0.2">
      <c r="A53" s="2" t="s">
        <v>12</v>
      </c>
      <c r="B53" s="56" t="s">
        <v>50</v>
      </c>
      <c r="C53" s="2" t="s">
        <v>51</v>
      </c>
      <c r="D53" s="35">
        <f t="shared" si="2"/>
        <v>32646.23</v>
      </c>
      <c r="E53" s="35">
        <f>32646.23</f>
        <v>32646.23</v>
      </c>
      <c r="S53" s="8">
        <f t="shared" si="3"/>
        <v>2.2360431506849316E-4</v>
      </c>
      <c r="V53" s="8"/>
    </row>
    <row r="54" spans="1:22" x14ac:dyDescent="0.2">
      <c r="A54" s="56" t="s">
        <v>13</v>
      </c>
      <c r="B54" s="56" t="s">
        <v>52</v>
      </c>
      <c r="C54" s="56" t="s">
        <v>53</v>
      </c>
      <c r="D54" s="35">
        <f t="shared" si="2"/>
        <v>15783.01</v>
      </c>
      <c r="F54" s="35">
        <f>15783.01</f>
        <v>15783.01</v>
      </c>
      <c r="S54" s="8">
        <f t="shared" si="3"/>
        <v>1.0810280821917808E-4</v>
      </c>
      <c r="V54" s="8"/>
    </row>
    <row r="55" spans="1:22" x14ac:dyDescent="0.2">
      <c r="A55" s="56" t="s">
        <v>16</v>
      </c>
      <c r="B55" s="56" t="s">
        <v>45</v>
      </c>
      <c r="C55" s="56" t="s">
        <v>48</v>
      </c>
      <c r="D55" s="35">
        <f t="shared" si="2"/>
        <v>781832.89</v>
      </c>
      <c r="I55" s="35">
        <f>781832.89</f>
        <v>781832.89</v>
      </c>
      <c r="S55" s="8">
        <f t="shared" si="3"/>
        <v>5.3550197945205482E-3</v>
      </c>
      <c r="V55" s="8"/>
    </row>
    <row r="56" spans="1:22" x14ac:dyDescent="0.2">
      <c r="A56" s="2" t="s">
        <v>16</v>
      </c>
      <c r="B56" s="56" t="s">
        <v>61</v>
      </c>
      <c r="C56" s="56" t="s">
        <v>86</v>
      </c>
      <c r="D56" s="35">
        <f t="shared" si="2"/>
        <v>8000357.7300000004</v>
      </c>
      <c r="I56" s="35">
        <v>8000357.7300000004</v>
      </c>
      <c r="S56" s="8">
        <f t="shared" si="3"/>
        <v>5.4796970753424663E-2</v>
      </c>
      <c r="V56" s="8"/>
    </row>
    <row r="57" spans="1:22" x14ac:dyDescent="0.2">
      <c r="A57" s="56" t="s">
        <v>16</v>
      </c>
      <c r="B57" s="56" t="s">
        <v>124</v>
      </c>
      <c r="C57" s="56" t="s">
        <v>67</v>
      </c>
      <c r="D57" s="35">
        <f t="shared" si="2"/>
        <v>6108158.1500000004</v>
      </c>
      <c r="I57" s="35">
        <f>6108158.15</f>
        <v>6108158.1500000004</v>
      </c>
      <c r="S57" s="8">
        <f t="shared" si="3"/>
        <v>4.1836699657534247E-2</v>
      </c>
      <c r="V57" s="8"/>
    </row>
    <row r="58" spans="1:22" x14ac:dyDescent="0.2">
      <c r="A58" s="56" t="s">
        <v>20</v>
      </c>
      <c r="B58" s="56" t="s">
        <v>66</v>
      </c>
      <c r="C58" s="56" t="s">
        <v>54</v>
      </c>
      <c r="D58" s="35">
        <f t="shared" si="2"/>
        <v>569517.35</v>
      </c>
      <c r="N58" s="35">
        <f>569517.35</f>
        <v>569517.35</v>
      </c>
      <c r="S58" s="8">
        <f t="shared" si="3"/>
        <v>3.9008037671232876E-3</v>
      </c>
      <c r="V58" s="8"/>
    </row>
    <row r="59" spans="1:22" x14ac:dyDescent="0.2">
      <c r="A59" s="2" t="s">
        <v>22</v>
      </c>
      <c r="B59" s="56" t="s">
        <v>125</v>
      </c>
      <c r="C59" t="s">
        <v>68</v>
      </c>
      <c r="D59" s="35">
        <f t="shared" si="2"/>
        <v>1312783.52</v>
      </c>
      <c r="P59" s="35">
        <f>982018.38+330765.14</f>
        <v>1312783.52</v>
      </c>
      <c r="S59" s="8">
        <f t="shared" si="3"/>
        <v>8.9916679452054799E-3</v>
      </c>
      <c r="V59" s="8"/>
    </row>
    <row r="60" spans="1:22" x14ac:dyDescent="0.2">
      <c r="A60" s="2" t="s">
        <v>22</v>
      </c>
      <c r="B60" s="56" t="s">
        <v>127</v>
      </c>
      <c r="C60" t="s">
        <v>49</v>
      </c>
      <c r="D60" s="35">
        <f>SUM(E60:R60)</f>
        <v>29251146.510000005</v>
      </c>
      <c r="P60" s="35">
        <f>8095432.67+12503188.32+8289987.07+23938.94+338599.51</f>
        <v>29251146.510000005</v>
      </c>
      <c r="S60" s="8">
        <f t="shared" si="3"/>
        <v>0.20035031856164387</v>
      </c>
      <c r="V60" s="8"/>
    </row>
    <row r="61" spans="1:22" ht="13.5" thickBot="1" x14ac:dyDescent="0.25">
      <c r="A61" s="75" t="s">
        <v>59</v>
      </c>
      <c r="B61" s="75"/>
      <c r="C61" s="80" t="s">
        <v>128</v>
      </c>
      <c r="D61" s="76">
        <f>146000000-SUM(D33:D60)</f>
        <v>71360913.840000004</v>
      </c>
      <c r="E61" s="77"/>
      <c r="F61" s="78"/>
      <c r="G61" s="78"/>
      <c r="H61" s="78"/>
      <c r="I61" s="78"/>
      <c r="J61" s="78"/>
      <c r="K61" s="78"/>
      <c r="L61" s="77"/>
      <c r="M61" s="77"/>
      <c r="N61" s="77"/>
      <c r="O61" s="78"/>
      <c r="P61" s="77"/>
      <c r="Q61" s="77"/>
      <c r="R61" s="77">
        <f>146000000-SUM(D33:D60)</f>
        <v>71360913.840000004</v>
      </c>
      <c r="S61" s="129">
        <f>D61/D9</f>
        <v>0.48877338246575347</v>
      </c>
      <c r="V61" s="8"/>
    </row>
    <row r="62" spans="1:22" ht="13.5" thickTop="1" x14ac:dyDescent="0.2">
      <c r="A62" s="2" t="s">
        <v>12</v>
      </c>
      <c r="B62" s="56" t="s">
        <v>125</v>
      </c>
      <c r="C62" s="2" t="s">
        <v>46</v>
      </c>
      <c r="D62" s="35">
        <f>SUM(E62:Q62)</f>
        <v>13265004.609999999</v>
      </c>
      <c r="E62" s="47">
        <f>9312023.08+3952981.53</f>
        <v>13265004.609999999</v>
      </c>
      <c r="F62" s="46"/>
      <c r="G62" s="46"/>
      <c r="H62" s="46"/>
      <c r="I62" s="46"/>
      <c r="J62" s="46"/>
      <c r="K62" s="46"/>
      <c r="L62" s="47"/>
      <c r="M62" s="47"/>
      <c r="N62" s="47"/>
      <c r="O62" s="46"/>
      <c r="P62" s="47"/>
      <c r="Q62" s="47"/>
      <c r="R62" s="47"/>
      <c r="S62" s="8">
        <f>D62/$D$11</f>
        <v>0.165812557625</v>
      </c>
      <c r="V62" s="8"/>
    </row>
    <row r="63" spans="1:22" x14ac:dyDescent="0.2">
      <c r="A63" s="2" t="s">
        <v>12</v>
      </c>
      <c r="B63" s="56" t="s">
        <v>126</v>
      </c>
      <c r="C63" s="2" t="s">
        <v>47</v>
      </c>
      <c r="D63" s="35">
        <f>SUM(E63:Q63)</f>
        <v>66734995.390000001</v>
      </c>
      <c r="E63" s="35">
        <f>20828474.09+43000000+2906521.3</f>
        <v>66734995.390000001</v>
      </c>
      <c r="S63" s="8">
        <f>D63/$D11</f>
        <v>0.83418744237499998</v>
      </c>
      <c r="V63" s="8"/>
    </row>
    <row r="64" spans="1:22" x14ac:dyDescent="0.2"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9"/>
    </row>
    <row r="65" spans="1:19" s="8" customFormat="1" ht="13.5" thickBot="1" x14ac:dyDescent="0.25">
      <c r="B65" s="50"/>
      <c r="C65" s="51" t="s">
        <v>26</v>
      </c>
      <c r="D65" s="52"/>
      <c r="E65" s="53">
        <f>E5/D5</f>
        <v>0.43196332549586774</v>
      </c>
      <c r="F65" s="53">
        <f>F5/D5</f>
        <v>1.7021927272727274E-2</v>
      </c>
      <c r="G65" s="53">
        <f>G5/D5</f>
        <v>0</v>
      </c>
      <c r="H65" s="53">
        <f>H5/D5</f>
        <v>5.0146182644628104E-3</v>
      </c>
      <c r="I65" s="53">
        <f>I5/D5</f>
        <v>6.7915857314049588E-2</v>
      </c>
      <c r="J65" s="53">
        <f>J5/D5</f>
        <v>0</v>
      </c>
      <c r="K65" s="53">
        <f>K5/D5</f>
        <v>1.3143327809917355E-2</v>
      </c>
      <c r="L65" s="53">
        <f>L5/D5</f>
        <v>1.84928652892562E-3</v>
      </c>
      <c r="M65" s="53">
        <f>M5/D5</f>
        <v>2.5470240082644631E-3</v>
      </c>
      <c r="N65" s="53">
        <f>N5/D5</f>
        <v>4.8376579338842976E-3</v>
      </c>
      <c r="O65" s="53">
        <f>O5/D5</f>
        <v>1.9694821074380166E-3</v>
      </c>
      <c r="P65" s="53">
        <f>P5/D5</f>
        <v>0.13580286144628101</v>
      </c>
      <c r="Q65" s="53">
        <f>Q5/D5</f>
        <v>9.2517446280991741E-4</v>
      </c>
      <c r="R65" s="53"/>
      <c r="S65" s="53"/>
    </row>
    <row r="66" spans="1:19" s="8" customFormat="1" ht="13.5" thickTop="1" x14ac:dyDescent="0.2">
      <c r="A66" s="54"/>
      <c r="C66" s="5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59"/>
  <sheetViews>
    <sheetView workbookViewId="0">
      <pane ySplit="11" topLeftCell="A12" activePane="bottomLeft" state="frozen"/>
      <selection pane="bottomLeft" activeCell="A66" sqref="A66"/>
    </sheetView>
  </sheetViews>
  <sheetFormatPr defaultRowHeight="12.75" x14ac:dyDescent="0.2"/>
  <cols>
    <col min="1" max="1" width="8.85546875" customWidth="1"/>
    <col min="2" max="2" width="15.7109375" customWidth="1"/>
    <col min="3" max="3" width="36.5703125" customWidth="1"/>
    <col min="4" max="4" width="15.42578125" style="35" customWidth="1"/>
    <col min="5" max="5" width="14.42578125" style="35" customWidth="1"/>
    <col min="6" max="6" width="12.7109375" style="35" customWidth="1"/>
    <col min="7" max="7" width="10.85546875" style="35" hidden="1" customWidth="1"/>
    <col min="8" max="8" width="12.28515625" style="35" customWidth="1"/>
    <col min="9" max="9" width="13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4.28515625" style="35" customWidth="1"/>
    <col min="15" max="15" width="12.140625" style="35" customWidth="1"/>
    <col min="16" max="16" width="13.28515625" style="35" customWidth="1"/>
    <col min="17" max="17" width="10.85546875" style="35" customWidth="1"/>
    <col min="18" max="18" width="13.140625" style="35" customWidth="1"/>
    <col min="19" max="19" width="12.7109375" style="8" customWidth="1"/>
    <col min="20" max="20" width="11.28515625" bestFit="1" customWidth="1"/>
  </cols>
  <sheetData>
    <row r="1" spans="1:19" x14ac:dyDescent="0.2">
      <c r="A1" s="63" t="s">
        <v>98</v>
      </c>
    </row>
    <row r="3" spans="1:19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19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19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118729128.23999999</v>
      </c>
      <c r="F5" s="43">
        <f t="shared" si="0"/>
        <v>4267370.6500000004</v>
      </c>
      <c r="G5" s="43">
        <f t="shared" si="0"/>
        <v>0</v>
      </c>
      <c r="H5" s="43">
        <f t="shared" si="0"/>
        <v>2021962.3900000001</v>
      </c>
      <c r="I5" s="43">
        <f t="shared" si="0"/>
        <v>17787873.050000001</v>
      </c>
      <c r="J5" s="43">
        <f t="shared" si="0"/>
        <v>0</v>
      </c>
      <c r="K5" s="43">
        <f t="shared" si="0"/>
        <v>3316077.42</v>
      </c>
      <c r="L5" s="43">
        <f t="shared" si="0"/>
        <v>447527.34</v>
      </c>
      <c r="M5" s="43">
        <f t="shared" si="0"/>
        <v>756988.25</v>
      </c>
      <c r="N5" s="43">
        <f t="shared" si="0"/>
        <v>1229631.8899999999</v>
      </c>
      <c r="O5" s="43">
        <f t="shared" si="0"/>
        <v>1191633.1400000001</v>
      </c>
      <c r="P5" s="43">
        <f t="shared" si="0"/>
        <v>46961254.769999996</v>
      </c>
      <c r="Q5" s="43">
        <f t="shared" si="0"/>
        <v>292093.43999999994</v>
      </c>
      <c r="R5" s="43">
        <f t="shared" si="0"/>
        <v>44998459.420000002</v>
      </c>
      <c r="S5" s="44"/>
    </row>
    <row r="6" spans="1:19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19" s="42" customFormat="1" ht="13.5" thickBot="1" x14ac:dyDescent="0.25">
      <c r="C7" s="74" t="s">
        <v>81</v>
      </c>
      <c r="D7" s="43">
        <f>SUM(E7:R7)</f>
        <v>16000000.000000002</v>
      </c>
      <c r="E7" s="43">
        <f>E13+E14</f>
        <v>4103709.37</v>
      </c>
      <c r="F7" s="43">
        <f>F15</f>
        <v>4251587.6400000006</v>
      </c>
      <c r="G7" s="43"/>
      <c r="H7" s="43">
        <f>H16+H17</f>
        <v>1544590.23</v>
      </c>
      <c r="I7" s="43">
        <f>I18</f>
        <v>114258.81</v>
      </c>
      <c r="J7" s="43">
        <f>J19</f>
        <v>0</v>
      </c>
      <c r="K7" s="43">
        <f>K20</f>
        <v>330166.21999999997</v>
      </c>
      <c r="L7" s="43">
        <f>L21</f>
        <v>447527.34</v>
      </c>
      <c r="M7" s="43">
        <f>M23+M24</f>
        <v>756988.25</v>
      </c>
      <c r="N7" s="43">
        <f>N25</f>
        <v>302359.42</v>
      </c>
      <c r="O7" s="43">
        <f>O26</f>
        <v>1191633.1400000001</v>
      </c>
      <c r="P7" s="43">
        <f>P28</f>
        <v>2665086.1400000006</v>
      </c>
      <c r="Q7" s="43">
        <f>Q29</f>
        <v>292093.43999999994</v>
      </c>
      <c r="R7" s="43">
        <v>0</v>
      </c>
      <c r="S7" s="44">
        <f>SUM(S13:S29)</f>
        <v>1</v>
      </c>
    </row>
    <row r="8" spans="1:19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19" s="42" customFormat="1" ht="13.5" thickBot="1" x14ac:dyDescent="0.25">
      <c r="C9" s="74" t="s">
        <v>82</v>
      </c>
      <c r="D9" s="43">
        <f>SUM(E9:R9)</f>
        <v>146000000</v>
      </c>
      <c r="E9" s="43">
        <f>E30+E31+E32+E33+E45+E34</f>
        <v>34625418.869999997</v>
      </c>
      <c r="F9" s="43">
        <f>F46</f>
        <v>15783.01</v>
      </c>
      <c r="G9" s="43"/>
      <c r="H9" s="43">
        <f>H39+H38</f>
        <v>477372.16000000003</v>
      </c>
      <c r="I9" s="43">
        <f>I40+I41+I47+I48+I49+I42</f>
        <v>17673614.240000002</v>
      </c>
      <c r="J9" s="43">
        <v>0</v>
      </c>
      <c r="K9" s="43">
        <f>K43</f>
        <v>2985911.2</v>
      </c>
      <c r="L9" s="43">
        <v>0</v>
      </c>
      <c r="M9" s="43">
        <v>0</v>
      </c>
      <c r="N9" s="43">
        <f>N44+N50</f>
        <v>927272.47</v>
      </c>
      <c r="O9" s="43"/>
      <c r="P9" s="43">
        <f>P51+P52+P53</f>
        <v>44296168.629999995</v>
      </c>
      <c r="Q9" s="43">
        <v>0</v>
      </c>
      <c r="R9" s="43">
        <f>R54</f>
        <v>44998459.420000002</v>
      </c>
      <c r="S9" s="44">
        <f>SUM(S30:S54)</f>
        <v>1</v>
      </c>
    </row>
    <row r="10" spans="1:19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19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E55+E56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S55+S56</f>
        <v>1</v>
      </c>
    </row>
    <row r="12" spans="1:19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19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f>4021524.18</f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19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f>82185.19</f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5.1365743749999995E-3</v>
      </c>
    </row>
    <row r="15" spans="1:19" x14ac:dyDescent="0.2">
      <c r="A15" s="2" t="s">
        <v>13</v>
      </c>
      <c r="B15" s="56" t="s">
        <v>122</v>
      </c>
      <c r="C15" s="56" t="s">
        <v>35</v>
      </c>
      <c r="D15" s="35">
        <f t="shared" si="1"/>
        <v>4251587.6400000006</v>
      </c>
      <c r="E15" s="47"/>
      <c r="F15" s="47">
        <f>3013000.18+62512.36+429133.23+47446+646142.72+39277.38+10483.21+87.36+2590.32+679.68+235.2</f>
        <v>4251587.6400000006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8">
        <f>D15/D7</f>
        <v>0.26572422750000002</v>
      </c>
    </row>
    <row r="16" spans="1:19" x14ac:dyDescent="0.2">
      <c r="A16" s="2" t="s">
        <v>15</v>
      </c>
      <c r="B16" s="56" t="s">
        <v>118</v>
      </c>
      <c r="C16" s="56" t="s">
        <v>35</v>
      </c>
      <c r="D16" s="35">
        <f t="shared" si="1"/>
        <v>387867.72000000003</v>
      </c>
      <c r="E16" s="47"/>
      <c r="F16" s="47"/>
      <c r="G16" s="46"/>
      <c r="H16" s="47">
        <f>89800+293494.89+4572.83</f>
        <v>387867.72000000003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2.4241732499999998E-2</v>
      </c>
    </row>
    <row r="17" spans="1:20" x14ac:dyDescent="0.2">
      <c r="A17" s="56" t="s">
        <v>15</v>
      </c>
      <c r="B17" s="56" t="s">
        <v>117</v>
      </c>
      <c r="C17" s="56" t="s">
        <v>39</v>
      </c>
      <c r="D17" s="35">
        <f t="shared" si="1"/>
        <v>1156722.51</v>
      </c>
      <c r="E17" s="47"/>
      <c r="F17" s="47"/>
      <c r="G17" s="46"/>
      <c r="H17" s="47">
        <f>1098316.5+58406.01</f>
        <v>1156722.51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7.2295156874999988E-2</v>
      </c>
    </row>
    <row r="18" spans="1:20" x14ac:dyDescent="0.2">
      <c r="A18" s="2" t="s">
        <v>16</v>
      </c>
      <c r="B18" s="56" t="s">
        <v>140</v>
      </c>
      <c r="C18" s="56" t="s">
        <v>35</v>
      </c>
      <c r="D18" s="35">
        <f t="shared" si="1"/>
        <v>114258.81</v>
      </c>
      <c r="E18" s="47"/>
      <c r="F18" s="47"/>
      <c r="G18" s="46"/>
      <c r="H18" s="47"/>
      <c r="I18" s="47">
        <f>75864.25+38394.56</f>
        <v>114258.81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7.1411756249999993E-3</v>
      </c>
    </row>
    <row r="19" spans="1:20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20" x14ac:dyDescent="0.2">
      <c r="A20" s="2" t="s">
        <v>59</v>
      </c>
      <c r="B20" s="56" t="s">
        <v>136</v>
      </c>
      <c r="C20" s="56" t="s">
        <v>39</v>
      </c>
      <c r="D20" s="35">
        <f t="shared" si="1"/>
        <v>330166.21999999997</v>
      </c>
      <c r="E20" s="47"/>
      <c r="F20" s="47"/>
      <c r="G20" s="46"/>
      <c r="H20" s="47"/>
      <c r="I20" s="46"/>
      <c r="J20" s="47"/>
      <c r="K20" s="47">
        <f>145740.07+184426.15</f>
        <v>330166.21999999997</v>
      </c>
      <c r="L20" s="46"/>
      <c r="M20" s="46"/>
      <c r="N20" s="46"/>
      <c r="O20" s="46"/>
      <c r="P20" s="46"/>
      <c r="Q20" s="46"/>
      <c r="R20" s="46"/>
      <c r="S20" s="8">
        <f>D20/D7</f>
        <v>2.0635388749999997E-2</v>
      </c>
    </row>
    <row r="21" spans="1:20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447527.34</v>
      </c>
      <c r="E21" s="47"/>
      <c r="F21" s="47"/>
      <c r="G21" s="46"/>
      <c r="H21" s="47"/>
      <c r="I21" s="46"/>
      <c r="J21" s="47"/>
      <c r="K21" s="47"/>
      <c r="L21" s="47">
        <f>447527.34</f>
        <v>447527.34</v>
      </c>
      <c r="M21" s="46"/>
      <c r="N21" s="46"/>
      <c r="O21" s="46"/>
      <c r="P21" s="46"/>
      <c r="Q21" s="46"/>
      <c r="R21" s="46"/>
      <c r="S21" s="8">
        <f>D21/D7</f>
        <v>2.797045875E-2</v>
      </c>
    </row>
    <row r="22" spans="1:20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20" x14ac:dyDescent="0.2">
      <c r="A23" s="2" t="s">
        <v>19</v>
      </c>
      <c r="B23" s="56" t="s">
        <v>116</v>
      </c>
      <c r="C23" s="56" t="s">
        <v>35</v>
      </c>
      <c r="D23" s="35">
        <f t="shared" si="1"/>
        <v>756988.25</v>
      </c>
      <c r="E23" s="47"/>
      <c r="F23" s="46"/>
      <c r="G23" s="46"/>
      <c r="H23" s="46"/>
      <c r="I23" s="46"/>
      <c r="J23" s="46"/>
      <c r="K23" s="46"/>
      <c r="L23" s="47"/>
      <c r="M23" s="47">
        <f>198994.71+309000+248993.54</f>
        <v>756988.25</v>
      </c>
      <c r="N23" s="46"/>
      <c r="O23" s="46"/>
      <c r="P23" s="46"/>
      <c r="Q23" s="46"/>
      <c r="R23" s="46"/>
      <c r="S23" s="8">
        <f>D23/D7</f>
        <v>4.7311765624999995E-2</v>
      </c>
    </row>
    <row r="24" spans="1:20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20" x14ac:dyDescent="0.2">
      <c r="A25" s="2" t="s">
        <v>20</v>
      </c>
      <c r="B25" s="56" t="s">
        <v>141</v>
      </c>
      <c r="C25" s="56" t="s">
        <v>35</v>
      </c>
      <c r="D25" s="35">
        <f t="shared" si="1"/>
        <v>302359.42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94557.56+179395.12+23047.08+5359.66</f>
        <v>302359.42</v>
      </c>
      <c r="O25" s="46"/>
      <c r="P25" s="46"/>
      <c r="Q25" s="46"/>
      <c r="R25" s="46"/>
      <c r="S25" s="8">
        <f>D25/D7</f>
        <v>1.8897463749999996E-2</v>
      </c>
    </row>
    <row r="26" spans="1:20" x14ac:dyDescent="0.2">
      <c r="A26" s="2" t="s">
        <v>21</v>
      </c>
      <c r="B26" s="56" t="s">
        <v>139</v>
      </c>
      <c r="C26" s="56" t="s">
        <v>35</v>
      </c>
      <c r="D26" s="35">
        <f t="shared" si="1"/>
        <v>1191633.1400000001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137991.19+238902.37+486586.83+328152.75</f>
        <v>1191633.1400000001</v>
      </c>
      <c r="P26" s="46"/>
      <c r="Q26" s="46"/>
      <c r="R26" s="46"/>
      <c r="S26" s="8">
        <f>D26/D7</f>
        <v>7.4477071249999999E-2</v>
      </c>
    </row>
    <row r="27" spans="1:20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20" x14ac:dyDescent="0.2">
      <c r="A28" s="2" t="s">
        <v>22</v>
      </c>
      <c r="B28" s="56" t="s">
        <v>123</v>
      </c>
      <c r="C28" s="56" t="s">
        <v>35</v>
      </c>
      <c r="D28" s="35">
        <f t="shared" si="1"/>
        <v>2665086.1400000006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404671.71+1054256.82+578114.15+513210.16+104524.91+10018.39+290</f>
        <v>2665086.1400000006</v>
      </c>
      <c r="Q28" s="46"/>
      <c r="R28" s="46"/>
      <c r="S28" s="8">
        <f>D28/D7</f>
        <v>0.16656788375000001</v>
      </c>
    </row>
    <row r="29" spans="1:20" ht="13.5" thickBot="1" x14ac:dyDescent="0.25">
      <c r="A29" s="103" t="s">
        <v>23</v>
      </c>
      <c r="B29" s="104" t="s">
        <v>121</v>
      </c>
      <c r="C29" s="104" t="s">
        <v>35</v>
      </c>
      <c r="D29" s="105">
        <f>SUM(E29:R29)</f>
        <v>292093.43999999994</v>
      </c>
      <c r="E29" s="106"/>
      <c r="F29" s="107"/>
      <c r="G29" s="107"/>
      <c r="H29" s="107"/>
      <c r="I29" s="107"/>
      <c r="J29" s="107"/>
      <c r="K29" s="107"/>
      <c r="L29" s="106"/>
      <c r="M29" s="106"/>
      <c r="N29" s="106"/>
      <c r="O29" s="107"/>
      <c r="P29" s="106"/>
      <c r="Q29" s="106">
        <f>164124.54+23808.8+81771.25+22388.85</f>
        <v>292093.43999999994</v>
      </c>
      <c r="R29" s="106"/>
      <c r="S29" s="108">
        <f>D29/D7</f>
        <v>1.8255839999999995E-2</v>
      </c>
      <c r="T29" s="8"/>
    </row>
    <row r="30" spans="1:20" x14ac:dyDescent="0.2">
      <c r="A30" s="56" t="s">
        <v>12</v>
      </c>
      <c r="B30" s="56" t="s">
        <v>112</v>
      </c>
      <c r="C30" s="56" t="s">
        <v>109</v>
      </c>
      <c r="D30" s="35">
        <f>SUM(E30:Q30)</f>
        <v>7758636</v>
      </c>
      <c r="E30" s="47">
        <f>7758636</f>
        <v>7758636</v>
      </c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8">
        <f>D30/$D$9</f>
        <v>5.3141342465753423E-2</v>
      </c>
    </row>
    <row r="31" spans="1:20" x14ac:dyDescent="0.2">
      <c r="A31" s="56" t="s">
        <v>12</v>
      </c>
      <c r="B31" s="56" t="s">
        <v>112</v>
      </c>
      <c r="C31" s="56" t="s">
        <v>110</v>
      </c>
      <c r="D31" s="35">
        <f>SUM(E31:Q31)</f>
        <v>22580453.82</v>
      </c>
      <c r="E31" s="47">
        <f>22580453.82</f>
        <v>22580453.82</v>
      </c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8">
        <f>D31/$D$9</f>
        <v>0.15466064260273973</v>
      </c>
    </row>
    <row r="32" spans="1:20" x14ac:dyDescent="0.2">
      <c r="A32" s="56" t="s">
        <v>12</v>
      </c>
      <c r="B32" s="56" t="s">
        <v>112</v>
      </c>
      <c r="C32" s="56" t="s">
        <v>111</v>
      </c>
      <c r="D32" s="35">
        <f>SUM(E32:Q32)</f>
        <v>2701425.43</v>
      </c>
      <c r="E32" s="47">
        <f>2701425.43</f>
        <v>2701425.43</v>
      </c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8">
        <f>D32/$D$9</f>
        <v>1.8502913904109589E-2</v>
      </c>
    </row>
    <row r="33" spans="1:20" x14ac:dyDescent="0.2">
      <c r="A33" s="56" t="s">
        <v>12</v>
      </c>
      <c r="B33" s="56" t="s">
        <v>120</v>
      </c>
      <c r="C33" s="56" t="s">
        <v>37</v>
      </c>
      <c r="D33" s="35">
        <f>SUM(E33:Q33)</f>
        <v>1243079.8899999999</v>
      </c>
      <c r="E33" s="47">
        <f>920749.57+322330.32</f>
        <v>1243079.8899999999</v>
      </c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8">
        <f t="shared" ref="S33:S53" si="2">D33/$D$9</f>
        <v>8.5142458219178083E-3</v>
      </c>
    </row>
    <row r="34" spans="1:20" x14ac:dyDescent="0.2">
      <c r="A34" s="56" t="s">
        <v>12</v>
      </c>
      <c r="B34" s="56" t="s">
        <v>137</v>
      </c>
      <c r="C34" s="56" t="s">
        <v>138</v>
      </c>
      <c r="D34" s="35">
        <f t="shared" ref="D34:D51" si="3">SUM(E34:Q34)</f>
        <v>309177.5</v>
      </c>
      <c r="E34" s="47">
        <f>309177.5</f>
        <v>309177.5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 t="shared" si="2"/>
        <v>2.117654109589041E-3</v>
      </c>
    </row>
    <row r="35" spans="1:20" hidden="1" x14ac:dyDescent="0.2">
      <c r="A35" s="56" t="s">
        <v>12</v>
      </c>
      <c r="B35" s="56"/>
      <c r="C35" s="56"/>
      <c r="D35" s="35">
        <f t="shared" si="3"/>
        <v>0</v>
      </c>
      <c r="E35" s="47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 t="shared" si="2"/>
        <v>0</v>
      </c>
    </row>
    <row r="36" spans="1:20" hidden="1" x14ac:dyDescent="0.2">
      <c r="A36" s="2" t="s">
        <v>13</v>
      </c>
      <c r="B36" s="56" t="s">
        <v>43</v>
      </c>
      <c r="C36" s="2" t="s">
        <v>39</v>
      </c>
      <c r="D36" s="35">
        <f t="shared" si="3"/>
        <v>0</v>
      </c>
      <c r="E36" s="47"/>
      <c r="F36" s="47"/>
      <c r="G36" s="47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8">
        <f t="shared" si="2"/>
        <v>0</v>
      </c>
    </row>
    <row r="37" spans="1:20" hidden="1" x14ac:dyDescent="0.2">
      <c r="A37" s="2" t="s">
        <v>14</v>
      </c>
      <c r="B37" s="56" t="s">
        <v>44</v>
      </c>
      <c r="C37" s="2" t="s">
        <v>39</v>
      </c>
      <c r="D37" s="35">
        <f t="shared" si="3"/>
        <v>0</v>
      </c>
      <c r="E37" s="47"/>
      <c r="F37" s="47"/>
      <c r="G37" s="47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 t="shared" si="2"/>
        <v>0</v>
      </c>
    </row>
    <row r="38" spans="1:20" x14ac:dyDescent="0.2">
      <c r="A38" s="2" t="s">
        <v>15</v>
      </c>
      <c r="B38" s="56" t="s">
        <v>57</v>
      </c>
      <c r="C38" s="56" t="s">
        <v>62</v>
      </c>
      <c r="D38" s="35">
        <f t="shared" si="3"/>
        <v>290579.45</v>
      </c>
      <c r="E38" s="47"/>
      <c r="F38" s="47"/>
      <c r="G38" s="46"/>
      <c r="H38" s="47">
        <f>290579.45</f>
        <v>290579.45</v>
      </c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si="2"/>
        <v>1.9902702054794522E-3</v>
      </c>
    </row>
    <row r="39" spans="1:20" x14ac:dyDescent="0.2">
      <c r="A39" s="56" t="s">
        <v>15</v>
      </c>
      <c r="B39" s="56" t="s">
        <v>114</v>
      </c>
      <c r="C39" s="56" t="s">
        <v>58</v>
      </c>
      <c r="D39" s="35">
        <f>SUM(E39:Q39)</f>
        <v>186792.71</v>
      </c>
      <c r="E39" s="47"/>
      <c r="F39" s="47"/>
      <c r="G39" s="46"/>
      <c r="H39" s="47">
        <f>74325.84+112466.87</f>
        <v>186792.71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2"/>
        <v>1.2794021232876711E-3</v>
      </c>
    </row>
    <row r="40" spans="1:20" x14ac:dyDescent="0.2">
      <c r="A40" s="56" t="s">
        <v>83</v>
      </c>
      <c r="B40" s="56" t="s">
        <v>60</v>
      </c>
      <c r="C40" s="56" t="s">
        <v>84</v>
      </c>
      <c r="D40" s="35">
        <f t="shared" si="3"/>
        <v>1419471.97</v>
      </c>
      <c r="E40" s="47"/>
      <c r="F40" s="47"/>
      <c r="G40" s="46"/>
      <c r="H40" s="47"/>
      <c r="I40" s="47">
        <f>1419471.97</f>
        <v>1419471.97</v>
      </c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2"/>
        <v>9.7224107534246568E-3</v>
      </c>
    </row>
    <row r="41" spans="1:20" x14ac:dyDescent="0.2">
      <c r="A41" s="56" t="s">
        <v>16</v>
      </c>
      <c r="B41" s="56" t="s">
        <v>56</v>
      </c>
      <c r="C41" s="56" t="s">
        <v>64</v>
      </c>
      <c r="D41" s="35">
        <f t="shared" si="3"/>
        <v>214728.51</v>
      </c>
      <c r="E41" s="47"/>
      <c r="F41" s="47"/>
      <c r="G41" s="46"/>
      <c r="H41" s="47"/>
      <c r="I41" s="47">
        <f>214728.51</f>
        <v>214728.51</v>
      </c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2"/>
        <v>1.4707432191780822E-3</v>
      </c>
    </row>
    <row r="42" spans="1:20" hidden="1" x14ac:dyDescent="0.2">
      <c r="A42" s="56" t="s">
        <v>16</v>
      </c>
      <c r="B42" s="56" t="s">
        <v>93</v>
      </c>
      <c r="C42" s="56" t="s">
        <v>94</v>
      </c>
      <c r="D42" s="35">
        <f t="shared" si="3"/>
        <v>0</v>
      </c>
      <c r="E42" s="47"/>
      <c r="F42" s="47"/>
      <c r="G42" s="46"/>
      <c r="H42" s="47"/>
      <c r="I42" s="47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2"/>
        <v>0</v>
      </c>
    </row>
    <row r="43" spans="1:20" x14ac:dyDescent="0.2">
      <c r="A43" s="2" t="s">
        <v>59</v>
      </c>
      <c r="B43" s="56" t="s">
        <v>57</v>
      </c>
      <c r="C43" s="56" t="s">
        <v>63</v>
      </c>
      <c r="D43" s="35">
        <f t="shared" si="3"/>
        <v>2985911.2</v>
      </c>
      <c r="E43" s="47"/>
      <c r="F43" s="47"/>
      <c r="G43" s="46"/>
      <c r="H43" s="47"/>
      <c r="I43" s="46"/>
      <c r="J43" s="47"/>
      <c r="K43" s="47">
        <f>2985911.2</f>
        <v>2985911.2</v>
      </c>
      <c r="L43" s="46"/>
      <c r="M43" s="46"/>
      <c r="N43" s="46"/>
      <c r="O43" s="46"/>
      <c r="P43" s="46"/>
      <c r="Q43" s="46"/>
      <c r="R43" s="46"/>
      <c r="S43" s="8">
        <f t="shared" si="2"/>
        <v>2.0451446575342466E-2</v>
      </c>
    </row>
    <row r="44" spans="1:20" x14ac:dyDescent="0.2">
      <c r="A44" s="86" t="s">
        <v>20</v>
      </c>
      <c r="B44" s="81" t="s">
        <v>91</v>
      </c>
      <c r="C44" s="81" t="s">
        <v>92</v>
      </c>
      <c r="D44" s="48">
        <f>SUM(E44:Q44)</f>
        <v>327298.65000000002</v>
      </c>
      <c r="E44" s="82"/>
      <c r="F44" s="83"/>
      <c r="G44" s="83"/>
      <c r="H44" s="83"/>
      <c r="I44" s="83"/>
      <c r="J44" s="83"/>
      <c r="K44" s="83"/>
      <c r="L44" s="82"/>
      <c r="M44" s="82"/>
      <c r="N44" s="82">
        <f>327298.65</f>
        <v>327298.65000000002</v>
      </c>
      <c r="O44" s="83"/>
      <c r="P44" s="83"/>
      <c r="Q44" s="83"/>
      <c r="R44" s="83"/>
      <c r="S44" s="49">
        <f t="shared" si="2"/>
        <v>2.241771575342466E-3</v>
      </c>
      <c r="T44" s="8"/>
    </row>
    <row r="45" spans="1:20" x14ac:dyDescent="0.2">
      <c r="A45" s="2" t="s">
        <v>12</v>
      </c>
      <c r="B45" s="56" t="s">
        <v>50</v>
      </c>
      <c r="C45" s="2" t="s">
        <v>51</v>
      </c>
      <c r="D45" s="35">
        <f t="shared" si="3"/>
        <v>32646.23</v>
      </c>
      <c r="E45" s="35">
        <f>32646.23</f>
        <v>32646.23</v>
      </c>
      <c r="S45" s="8">
        <f t="shared" si="2"/>
        <v>2.2360431506849316E-4</v>
      </c>
    </row>
    <row r="46" spans="1:20" x14ac:dyDescent="0.2">
      <c r="A46" s="56" t="s">
        <v>13</v>
      </c>
      <c r="B46" s="56" t="s">
        <v>52</v>
      </c>
      <c r="C46" s="56" t="s">
        <v>53</v>
      </c>
      <c r="D46" s="35">
        <f t="shared" si="3"/>
        <v>15783.01</v>
      </c>
      <c r="F46" s="35">
        <f>15783.01</f>
        <v>15783.01</v>
      </c>
      <c r="S46" s="8">
        <f t="shared" si="2"/>
        <v>1.0810280821917808E-4</v>
      </c>
    </row>
    <row r="47" spans="1:20" x14ac:dyDescent="0.2">
      <c r="A47" s="56" t="s">
        <v>16</v>
      </c>
      <c r="B47" s="56" t="s">
        <v>45</v>
      </c>
      <c r="C47" s="56" t="s">
        <v>48</v>
      </c>
      <c r="D47" s="35">
        <f t="shared" si="3"/>
        <v>781832.89</v>
      </c>
      <c r="I47" s="35">
        <f>781832.89</f>
        <v>781832.89</v>
      </c>
      <c r="S47" s="8">
        <f t="shared" si="2"/>
        <v>5.3550197945205482E-3</v>
      </c>
    </row>
    <row r="48" spans="1:20" x14ac:dyDescent="0.2">
      <c r="A48" s="2" t="s">
        <v>16</v>
      </c>
      <c r="B48" s="56" t="s">
        <v>61</v>
      </c>
      <c r="C48" s="56" t="s">
        <v>86</v>
      </c>
      <c r="D48" s="35">
        <f t="shared" si="3"/>
        <v>8000357.7300000004</v>
      </c>
      <c r="I48" s="35">
        <f>8000357.73</f>
        <v>8000357.7300000004</v>
      </c>
      <c r="S48" s="8">
        <f t="shared" si="2"/>
        <v>5.4796970753424663E-2</v>
      </c>
    </row>
    <row r="49" spans="1:20" x14ac:dyDescent="0.2">
      <c r="A49" s="56" t="s">
        <v>16</v>
      </c>
      <c r="B49" s="56" t="s">
        <v>124</v>
      </c>
      <c r="C49" s="56" t="s">
        <v>67</v>
      </c>
      <c r="D49" s="35">
        <f t="shared" si="3"/>
        <v>7257223.1399999997</v>
      </c>
      <c r="I49" s="35">
        <f>7257223.14</f>
        <v>7257223.1399999997</v>
      </c>
      <c r="S49" s="8">
        <f t="shared" si="2"/>
        <v>4.9707007808219177E-2</v>
      </c>
    </row>
    <row r="50" spans="1:20" x14ac:dyDescent="0.2">
      <c r="A50" s="56" t="s">
        <v>20</v>
      </c>
      <c r="B50" s="56" t="s">
        <v>66</v>
      </c>
      <c r="C50" s="56" t="s">
        <v>54</v>
      </c>
      <c r="D50" s="35">
        <f t="shared" si="3"/>
        <v>599973.81999999995</v>
      </c>
      <c r="N50" s="35">
        <f>599973.82</f>
        <v>599973.81999999995</v>
      </c>
      <c r="S50" s="8">
        <f t="shared" si="2"/>
        <v>4.1094097260273967E-3</v>
      </c>
    </row>
    <row r="51" spans="1:20" x14ac:dyDescent="0.2">
      <c r="A51" s="2" t="s">
        <v>22</v>
      </c>
      <c r="B51" s="56" t="s">
        <v>125</v>
      </c>
      <c r="C51" t="s">
        <v>68</v>
      </c>
      <c r="D51" s="35">
        <f t="shared" si="3"/>
        <v>6408227.9799999995</v>
      </c>
      <c r="P51" s="109">
        <f>5861661.84+546566.14</f>
        <v>6408227.9799999995</v>
      </c>
      <c r="S51" s="8">
        <f t="shared" si="2"/>
        <v>4.3891972465753423E-2</v>
      </c>
    </row>
    <row r="52" spans="1:20" x14ac:dyDescent="0.2">
      <c r="A52" s="2" t="s">
        <v>22</v>
      </c>
      <c r="B52" s="56" t="s">
        <v>127</v>
      </c>
      <c r="C52" t="s">
        <v>49</v>
      </c>
      <c r="D52" s="35">
        <f>SUM(E52:R52)</f>
        <v>37877789.82</v>
      </c>
      <c r="P52" s="35">
        <f>16460727.15+12601092.37+8311387.07+56750.82+447832.41</f>
        <v>37877789.82</v>
      </c>
      <c r="S52" s="8">
        <f t="shared" si="2"/>
        <v>0.25943691657534246</v>
      </c>
    </row>
    <row r="53" spans="1:20" x14ac:dyDescent="0.2">
      <c r="A53" s="56" t="s">
        <v>22</v>
      </c>
      <c r="B53" s="56" t="s">
        <v>142</v>
      </c>
      <c r="C53" s="56" t="s">
        <v>143</v>
      </c>
      <c r="D53" s="35">
        <f>SUM(E53:R53)</f>
        <v>10150.83</v>
      </c>
      <c r="P53" s="35">
        <f>10150.83</f>
        <v>10150.83</v>
      </c>
      <c r="S53" s="8">
        <f t="shared" si="2"/>
        <v>6.9526232876712324E-5</v>
      </c>
    </row>
    <row r="54" spans="1:20" ht="13.5" thickBot="1" x14ac:dyDescent="0.25">
      <c r="A54" s="75" t="s">
        <v>59</v>
      </c>
      <c r="B54" s="75"/>
      <c r="C54" s="80" t="s">
        <v>128</v>
      </c>
      <c r="D54" s="76">
        <f>SUM(E54:R54)</f>
        <v>44998459.420000002</v>
      </c>
      <c r="E54" s="77"/>
      <c r="F54" s="78"/>
      <c r="G54" s="78"/>
      <c r="H54" s="78"/>
      <c r="I54" s="78"/>
      <c r="J54" s="78"/>
      <c r="K54" s="78"/>
      <c r="L54" s="77"/>
      <c r="M54" s="77"/>
      <c r="N54" s="77"/>
      <c r="O54" s="78"/>
      <c r="P54" s="77"/>
      <c r="Q54" s="77"/>
      <c r="R54" s="77">
        <v>44998459.420000002</v>
      </c>
      <c r="S54" s="79">
        <f>D54/D9</f>
        <v>0.30820862616438355</v>
      </c>
      <c r="T54" s="8"/>
    </row>
    <row r="55" spans="1:20" ht="13.5" thickTop="1" x14ac:dyDescent="0.2">
      <c r="A55" s="2" t="s">
        <v>12</v>
      </c>
      <c r="B55" s="56" t="s">
        <v>125</v>
      </c>
      <c r="C55" s="2" t="s">
        <v>46</v>
      </c>
      <c r="D55" s="35">
        <f>SUM(E55:Q55)</f>
        <v>13265004.609999999</v>
      </c>
      <c r="E55" s="47">
        <f>9312023.08+3952981.53</f>
        <v>13265004.609999999</v>
      </c>
      <c r="F55" s="46"/>
      <c r="G55" s="46"/>
      <c r="H55" s="46"/>
      <c r="I55" s="46"/>
      <c r="J55" s="46"/>
      <c r="K55" s="46"/>
      <c r="L55" s="47"/>
      <c r="M55" s="47"/>
      <c r="N55" s="47"/>
      <c r="O55" s="46"/>
      <c r="P55" s="47"/>
      <c r="Q55" s="47"/>
      <c r="R55" s="47"/>
      <c r="S55" s="8">
        <f>D55/$D$11</f>
        <v>0.165812557625</v>
      </c>
      <c r="T55" s="8"/>
    </row>
    <row r="56" spans="1:20" x14ac:dyDescent="0.2">
      <c r="A56" s="2" t="s">
        <v>12</v>
      </c>
      <c r="B56" s="56" t="s">
        <v>126</v>
      </c>
      <c r="C56" s="2" t="s">
        <v>47</v>
      </c>
      <c r="D56" s="35">
        <f>SUM(E56:Q56)</f>
        <v>66734995.390000001</v>
      </c>
      <c r="E56" s="35">
        <f>20828474.09+43000000+2906521.3</f>
        <v>66734995.390000001</v>
      </c>
      <c r="S56" s="8">
        <f>D56/$D11</f>
        <v>0.83418744237499998</v>
      </c>
    </row>
    <row r="57" spans="1:20" x14ac:dyDescent="0.2"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9"/>
    </row>
    <row r="58" spans="1:20" s="8" customFormat="1" ht="13.5" thickBot="1" x14ac:dyDescent="0.25">
      <c r="B58" s="50"/>
      <c r="C58" s="51" t="s">
        <v>26</v>
      </c>
      <c r="D58" s="52"/>
      <c r="E58" s="53">
        <f>E5/D5</f>
        <v>0.49061623239669422</v>
      </c>
      <c r="F58" s="53">
        <f>F5/D5</f>
        <v>1.7633763016528928E-2</v>
      </c>
      <c r="G58" s="53">
        <f>G5/D5</f>
        <v>0</v>
      </c>
      <c r="H58" s="53">
        <f>H5/D5</f>
        <v>8.3552164876033071E-3</v>
      </c>
      <c r="I58" s="53">
        <f>I5/D5</f>
        <v>7.3503607644628099E-2</v>
      </c>
      <c r="J58" s="53">
        <f>J5/D5</f>
        <v>0</v>
      </c>
      <c r="K58" s="53">
        <f>K5/D5</f>
        <v>1.3702799256198347E-2</v>
      </c>
      <c r="L58" s="53">
        <f>L5/D5</f>
        <v>1.84928652892562E-3</v>
      </c>
      <c r="M58" s="53">
        <f>M5/D5</f>
        <v>3.1280506198347107E-3</v>
      </c>
      <c r="N58" s="53">
        <f>N5/D5</f>
        <v>5.0811235123966935E-3</v>
      </c>
      <c r="O58" s="53">
        <f>O5/D5</f>
        <v>4.9241038842975215E-3</v>
      </c>
      <c r="P58" s="53">
        <f>P5/D5</f>
        <v>0.19405477177685948</v>
      </c>
      <c r="Q58" s="53">
        <f>Q5/D5</f>
        <v>1.206997685950413E-3</v>
      </c>
      <c r="R58" s="53"/>
      <c r="S58" s="53"/>
    </row>
    <row r="59" spans="1:20" s="8" customFormat="1" ht="13.5" thickTop="1" x14ac:dyDescent="0.2">
      <c r="A59" s="54"/>
      <c r="C59" s="51"/>
    </row>
  </sheetData>
  <pageMargins left="0.5" right="0" top="0.75" bottom="0.75" header="0.3" footer="0.3"/>
  <pageSetup paperSize="5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31AA8-CE11-4732-888F-E73579B07A2B}">
  <sheetPr>
    <tabColor theme="5" tint="0.79998168889431442"/>
  </sheetPr>
  <dimension ref="A1:T64"/>
  <sheetViews>
    <sheetView workbookViewId="0">
      <selection activeCell="O56" sqref="O56"/>
    </sheetView>
  </sheetViews>
  <sheetFormatPr defaultRowHeight="12.75" x14ac:dyDescent="0.2"/>
  <cols>
    <col min="2" max="2" width="15.7109375" customWidth="1"/>
    <col min="3" max="3" width="36.5703125" customWidth="1"/>
    <col min="4" max="4" width="15.42578125" style="35" customWidth="1"/>
    <col min="5" max="5" width="14.42578125" style="35" customWidth="1"/>
    <col min="6" max="6" width="12.7109375" style="35" customWidth="1"/>
    <col min="7" max="7" width="10.85546875" style="35" hidden="1" customWidth="1"/>
    <col min="8" max="8" width="12.28515625" style="35" customWidth="1"/>
    <col min="9" max="9" width="13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4.28515625" style="35" customWidth="1"/>
    <col min="15" max="15" width="12.140625" style="35" customWidth="1"/>
    <col min="16" max="16" width="13.28515625" style="35" customWidth="1"/>
    <col min="17" max="17" width="10.85546875" style="35" customWidth="1"/>
    <col min="18" max="18" width="13.140625" style="35" customWidth="1"/>
    <col min="19" max="19" width="12.7109375" style="8" customWidth="1"/>
    <col min="20" max="20" width="11.28515625" bestFit="1" customWidth="1"/>
  </cols>
  <sheetData>
    <row r="1" spans="1:19" x14ac:dyDescent="0.2">
      <c r="A1" s="63" t="s">
        <v>98</v>
      </c>
    </row>
    <row r="3" spans="1:19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19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19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118729128.23999999</v>
      </c>
      <c r="F5" s="43">
        <f t="shared" si="0"/>
        <v>4267370.6500000004</v>
      </c>
      <c r="G5" s="43">
        <f t="shared" si="0"/>
        <v>0</v>
      </c>
      <c r="H5" s="43">
        <f t="shared" si="0"/>
        <v>2021962.3900000001</v>
      </c>
      <c r="I5" s="43">
        <f t="shared" si="0"/>
        <v>17787873.050000001</v>
      </c>
      <c r="J5" s="43">
        <f t="shared" si="0"/>
        <v>0</v>
      </c>
      <c r="K5" s="43">
        <f t="shared" si="0"/>
        <v>3316077.42</v>
      </c>
      <c r="L5" s="43">
        <f t="shared" si="0"/>
        <v>447527.34</v>
      </c>
      <c r="M5" s="43">
        <f t="shared" si="0"/>
        <v>756988.25</v>
      </c>
      <c r="N5" s="43">
        <f t="shared" si="0"/>
        <v>1229631.8899999999</v>
      </c>
      <c r="O5" s="43">
        <f t="shared" si="0"/>
        <v>1191633.1400000001</v>
      </c>
      <c r="P5" s="43">
        <f t="shared" si="0"/>
        <v>46961254.769999996</v>
      </c>
      <c r="Q5" s="43">
        <f t="shared" si="0"/>
        <v>292093.43999999994</v>
      </c>
      <c r="R5" s="43">
        <f t="shared" si="0"/>
        <v>44998459.420000002</v>
      </c>
      <c r="S5" s="44"/>
    </row>
    <row r="6" spans="1:19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19" s="42" customFormat="1" ht="13.5" thickBot="1" x14ac:dyDescent="0.25">
      <c r="C7" s="74" t="s">
        <v>81</v>
      </c>
      <c r="D7" s="43">
        <f>SUM(E7:R7)</f>
        <v>16000000</v>
      </c>
      <c r="E7" s="43">
        <f>E13+E14</f>
        <v>4103709.37</v>
      </c>
      <c r="F7" s="43">
        <f>F15</f>
        <v>1238587.4600000004</v>
      </c>
      <c r="G7" s="43"/>
      <c r="H7" s="43">
        <f>H16+H17</f>
        <v>1544590.23</v>
      </c>
      <c r="I7" s="43">
        <f>I18</f>
        <v>114258.81</v>
      </c>
      <c r="J7" s="43">
        <f>J19</f>
        <v>0</v>
      </c>
      <c r="K7" s="43">
        <f>K20</f>
        <v>330166.21999999997</v>
      </c>
      <c r="L7" s="43">
        <f>L21</f>
        <v>447527.34</v>
      </c>
      <c r="M7" s="43">
        <f>M23+M24</f>
        <v>756988.25</v>
      </c>
      <c r="N7" s="43">
        <f>N25</f>
        <v>302359.42</v>
      </c>
      <c r="O7" s="43">
        <f>O26</f>
        <v>1191633.1400000001</v>
      </c>
      <c r="P7" s="43">
        <f>P28</f>
        <v>2665086.1400000006</v>
      </c>
      <c r="Q7" s="43">
        <f>Q29</f>
        <v>292093.43999999994</v>
      </c>
      <c r="R7" s="43">
        <f>R30</f>
        <v>3013000.18</v>
      </c>
      <c r="S7" s="44">
        <f>SUM(S13:S30)</f>
        <v>1.0000000000000002</v>
      </c>
    </row>
    <row r="8" spans="1:19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19" s="42" customFormat="1" ht="13.5" thickBot="1" x14ac:dyDescent="0.25">
      <c r="C9" s="74" t="s">
        <v>82</v>
      </c>
      <c r="D9" s="43">
        <f>SUM(E9:R9)</f>
        <v>146000000</v>
      </c>
      <c r="E9" s="43">
        <f>E34+E35+E36+E38+E50+E39</f>
        <v>34625418.869999997</v>
      </c>
      <c r="F9" s="43">
        <f>F51+F32</f>
        <v>3028783.19</v>
      </c>
      <c r="G9" s="43"/>
      <c r="H9" s="43">
        <f>H44+H43</f>
        <v>477372.16000000003</v>
      </c>
      <c r="I9" s="43">
        <f>I45+I46+I52+I53+I54+I47</f>
        <v>17673614.240000002</v>
      </c>
      <c r="J9" s="43">
        <v>0</v>
      </c>
      <c r="K9" s="43">
        <f>K48</f>
        <v>2985911.2</v>
      </c>
      <c r="L9" s="43">
        <v>0</v>
      </c>
      <c r="M9" s="43">
        <v>0</v>
      </c>
      <c r="N9" s="43">
        <f>N49+N55</f>
        <v>927272.47</v>
      </c>
      <c r="O9" s="43"/>
      <c r="P9" s="43">
        <f>P56+P57+P58</f>
        <v>44296168.629999995</v>
      </c>
      <c r="Q9" s="43">
        <v>0</v>
      </c>
      <c r="R9" s="43">
        <f>R59</f>
        <v>41985459.240000002</v>
      </c>
      <c r="S9" s="44">
        <f>SUM(S32:S59)</f>
        <v>1</v>
      </c>
    </row>
    <row r="10" spans="1:19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19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E60+E61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S60+S61</f>
        <v>1</v>
      </c>
    </row>
    <row r="12" spans="1:19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19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f>4021524.18</f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19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f>82185.19</f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5.1365743750000003E-3</v>
      </c>
    </row>
    <row r="15" spans="1:19" x14ac:dyDescent="0.2">
      <c r="A15" s="121" t="s">
        <v>13</v>
      </c>
      <c r="B15" s="122" t="s">
        <v>122</v>
      </c>
      <c r="C15" s="122" t="s">
        <v>35</v>
      </c>
      <c r="D15" s="123">
        <f t="shared" si="1"/>
        <v>1238587.4600000004</v>
      </c>
      <c r="E15" s="124"/>
      <c r="F15" s="124">
        <f>3013000.18+62512.36+429133.23+47446+646142.72+39277.38+10483.21+87.36+2590.32+679.68+235.2-3013000.18</f>
        <v>1238587.4600000004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19">
        <f>D15/D7</f>
        <v>7.7411716250000026E-2</v>
      </c>
    </row>
    <row r="16" spans="1:19" x14ac:dyDescent="0.2">
      <c r="A16" s="2" t="s">
        <v>15</v>
      </c>
      <c r="B16" s="56" t="s">
        <v>118</v>
      </c>
      <c r="C16" s="56" t="s">
        <v>35</v>
      </c>
      <c r="D16" s="35">
        <f t="shared" si="1"/>
        <v>387867.72000000003</v>
      </c>
      <c r="E16" s="47"/>
      <c r="F16" s="47"/>
      <c r="G16" s="46"/>
      <c r="H16" s="47">
        <f>89800+293494.89+4572.83</f>
        <v>387867.72000000003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2.4241732500000002E-2</v>
      </c>
    </row>
    <row r="17" spans="1:20" x14ac:dyDescent="0.2">
      <c r="A17" s="56" t="s">
        <v>15</v>
      </c>
      <c r="B17" s="56" t="s">
        <v>117</v>
      </c>
      <c r="C17" s="56" t="s">
        <v>39</v>
      </c>
      <c r="D17" s="35">
        <f t="shared" si="1"/>
        <v>1156722.51</v>
      </c>
      <c r="E17" s="47"/>
      <c r="F17" s="47"/>
      <c r="G17" s="46"/>
      <c r="H17" s="47">
        <f>1098316.5+58406.01</f>
        <v>1156722.51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7.2295156875000002E-2</v>
      </c>
    </row>
    <row r="18" spans="1:20" x14ac:dyDescent="0.2">
      <c r="A18" s="2" t="s">
        <v>16</v>
      </c>
      <c r="B18" s="56" t="s">
        <v>140</v>
      </c>
      <c r="C18" s="56" t="s">
        <v>35</v>
      </c>
      <c r="D18" s="35">
        <f t="shared" si="1"/>
        <v>114258.81</v>
      </c>
      <c r="E18" s="47"/>
      <c r="F18" s="47"/>
      <c r="G18" s="46"/>
      <c r="H18" s="47"/>
      <c r="I18" s="47">
        <f>75864.25+38394.56</f>
        <v>114258.81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7.1411756250000001E-3</v>
      </c>
    </row>
    <row r="19" spans="1:20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20" x14ac:dyDescent="0.2">
      <c r="A20" s="2" t="s">
        <v>59</v>
      </c>
      <c r="B20" s="56" t="s">
        <v>136</v>
      </c>
      <c r="C20" s="56" t="s">
        <v>39</v>
      </c>
      <c r="D20" s="35">
        <f t="shared" si="1"/>
        <v>330166.21999999997</v>
      </c>
      <c r="E20" s="47"/>
      <c r="F20" s="47"/>
      <c r="G20" s="46"/>
      <c r="H20" s="47"/>
      <c r="I20" s="46"/>
      <c r="J20" s="47"/>
      <c r="K20" s="47">
        <f>145740.07+184426.15</f>
        <v>330166.21999999997</v>
      </c>
      <c r="L20" s="46"/>
      <c r="M20" s="46"/>
      <c r="N20" s="46"/>
      <c r="O20" s="46"/>
      <c r="P20" s="46"/>
      <c r="Q20" s="46"/>
      <c r="R20" s="46"/>
      <c r="S20" s="8">
        <f>D20/D7</f>
        <v>2.0635388749999997E-2</v>
      </c>
    </row>
    <row r="21" spans="1:20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447527.34</v>
      </c>
      <c r="E21" s="47"/>
      <c r="F21" s="47"/>
      <c r="G21" s="46"/>
      <c r="H21" s="47"/>
      <c r="I21" s="46"/>
      <c r="J21" s="47"/>
      <c r="K21" s="47"/>
      <c r="L21" s="47">
        <f>447527.34</f>
        <v>447527.34</v>
      </c>
      <c r="M21" s="46"/>
      <c r="N21" s="46"/>
      <c r="O21" s="46"/>
      <c r="P21" s="46"/>
      <c r="Q21" s="46"/>
      <c r="R21" s="46"/>
      <c r="S21" s="8">
        <f>D21/D7</f>
        <v>2.7970458750000003E-2</v>
      </c>
    </row>
    <row r="22" spans="1:20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20" x14ac:dyDescent="0.2">
      <c r="A23" s="2" t="s">
        <v>19</v>
      </c>
      <c r="B23" s="56" t="s">
        <v>116</v>
      </c>
      <c r="C23" s="56" t="s">
        <v>35</v>
      </c>
      <c r="D23" s="35">
        <f t="shared" si="1"/>
        <v>756988.25</v>
      </c>
      <c r="E23" s="47"/>
      <c r="F23" s="46"/>
      <c r="G23" s="46"/>
      <c r="H23" s="46"/>
      <c r="I23" s="46"/>
      <c r="J23" s="46"/>
      <c r="K23" s="46"/>
      <c r="L23" s="47"/>
      <c r="M23" s="47">
        <f>198994.71+309000+248993.54</f>
        <v>756988.25</v>
      </c>
      <c r="N23" s="46"/>
      <c r="O23" s="46"/>
      <c r="P23" s="46"/>
      <c r="Q23" s="46"/>
      <c r="R23" s="46"/>
      <c r="S23" s="8">
        <f>D23/D7</f>
        <v>4.7311765625000002E-2</v>
      </c>
    </row>
    <row r="24" spans="1:20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20" x14ac:dyDescent="0.2">
      <c r="A25" s="2" t="s">
        <v>20</v>
      </c>
      <c r="B25" s="56" t="s">
        <v>141</v>
      </c>
      <c r="C25" s="56" t="s">
        <v>35</v>
      </c>
      <c r="D25" s="35">
        <f t="shared" si="1"/>
        <v>302359.42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94557.56+179395.12+23047.08+5359.66</f>
        <v>302359.42</v>
      </c>
      <c r="O25" s="46"/>
      <c r="P25" s="46"/>
      <c r="Q25" s="46"/>
      <c r="R25" s="46"/>
      <c r="S25" s="8">
        <f>D25/D7</f>
        <v>1.8897463749999999E-2</v>
      </c>
    </row>
    <row r="26" spans="1:20" x14ac:dyDescent="0.2">
      <c r="A26" s="2" t="s">
        <v>21</v>
      </c>
      <c r="B26" s="56" t="s">
        <v>139</v>
      </c>
      <c r="C26" s="56" t="s">
        <v>35</v>
      </c>
      <c r="D26" s="35">
        <f t="shared" si="1"/>
        <v>1191633.1400000001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137991.19+238902.37+486586.83+328152.75</f>
        <v>1191633.1400000001</v>
      </c>
      <c r="P26" s="46"/>
      <c r="Q26" s="46"/>
      <c r="R26" s="46"/>
      <c r="S26" s="8">
        <f>D26/D7</f>
        <v>7.4477071250000013E-2</v>
      </c>
    </row>
    <row r="27" spans="1:20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20" x14ac:dyDescent="0.2">
      <c r="A28" s="2" t="s">
        <v>22</v>
      </c>
      <c r="B28" s="56" t="s">
        <v>123</v>
      </c>
      <c r="C28" s="56" t="s">
        <v>35</v>
      </c>
      <c r="D28" s="35">
        <f t="shared" si="1"/>
        <v>2665086.1400000006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404671.71+1054256.82+578114.15+513210.16+104524.91+10018.39+290</f>
        <v>2665086.1400000006</v>
      </c>
      <c r="Q28" s="46"/>
      <c r="R28" s="46"/>
      <c r="S28" s="8">
        <f>D28/D7</f>
        <v>0.16656788375000003</v>
      </c>
    </row>
    <row r="29" spans="1:20" x14ac:dyDescent="0.2">
      <c r="A29" s="2" t="s">
        <v>23</v>
      </c>
      <c r="B29" s="56" t="s">
        <v>121</v>
      </c>
      <c r="C29" s="56" t="s">
        <v>35</v>
      </c>
      <c r="D29" s="35">
        <f>SUM(E29:R29)</f>
        <v>292093.43999999994</v>
      </c>
      <c r="E29" s="47"/>
      <c r="F29" s="46"/>
      <c r="G29" s="46"/>
      <c r="H29" s="46"/>
      <c r="I29" s="46"/>
      <c r="J29" s="46"/>
      <c r="K29" s="46"/>
      <c r="L29" s="47"/>
      <c r="M29" s="47"/>
      <c r="N29" s="47"/>
      <c r="O29" s="46"/>
      <c r="P29" s="47"/>
      <c r="Q29" s="47">
        <f>164124.54+23808.8+81771.25+22388.85</f>
        <v>292093.43999999994</v>
      </c>
      <c r="R29" s="47"/>
      <c r="S29" s="8">
        <f>D29/D7</f>
        <v>1.8255839999999995E-2</v>
      </c>
      <c r="T29" s="8"/>
    </row>
    <row r="30" spans="1:20" ht="13.5" thickBot="1" x14ac:dyDescent="0.25">
      <c r="A30" s="75" t="s">
        <v>59</v>
      </c>
      <c r="B30" s="75"/>
      <c r="C30" s="80" t="s">
        <v>128</v>
      </c>
      <c r="D30" s="76">
        <v>3013000.18</v>
      </c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>
        <v>3013000.18</v>
      </c>
      <c r="S30" s="119">
        <f>D30/D7</f>
        <v>0.18831251125000001</v>
      </c>
    </row>
    <row r="31" spans="1:20" ht="13.5" thickTop="1" x14ac:dyDescent="0.2">
      <c r="A31" s="2"/>
      <c r="B31" s="56"/>
      <c r="C31" s="56"/>
      <c r="E31" s="47"/>
      <c r="F31" s="46"/>
      <c r="G31" s="46"/>
      <c r="H31" s="46"/>
      <c r="I31" s="46"/>
      <c r="J31" s="46"/>
      <c r="K31" s="46"/>
      <c r="L31" s="47"/>
      <c r="M31" s="47"/>
      <c r="N31" s="47"/>
      <c r="O31" s="46"/>
      <c r="P31" s="47"/>
      <c r="Q31" s="47"/>
      <c r="R31" s="47"/>
      <c r="T31" s="8"/>
    </row>
    <row r="32" spans="1:20" x14ac:dyDescent="0.2">
      <c r="A32" s="121" t="s">
        <v>13</v>
      </c>
      <c r="B32" s="122" t="s">
        <v>112</v>
      </c>
      <c r="C32" s="122" t="s">
        <v>155</v>
      </c>
      <c r="D32" s="123">
        <f>SUM(E32:Q32)</f>
        <v>3013000.18</v>
      </c>
      <c r="E32" s="124"/>
      <c r="F32" s="125">
        <v>3013000.18</v>
      </c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119">
        <f>D32/$D$9</f>
        <v>2.0636987534246577E-2</v>
      </c>
    </row>
    <row r="33" spans="1:20" x14ac:dyDescent="0.2">
      <c r="A33" s="2"/>
      <c r="B33" s="56"/>
      <c r="C33" s="120"/>
      <c r="E33" s="47"/>
      <c r="F33" s="46"/>
      <c r="G33" s="46"/>
      <c r="H33" s="46"/>
      <c r="I33" s="46"/>
      <c r="J33" s="46"/>
      <c r="K33" s="46"/>
      <c r="L33" s="47"/>
      <c r="M33" s="47"/>
      <c r="N33" s="47"/>
      <c r="O33" s="46"/>
      <c r="P33" s="47"/>
      <c r="Q33" s="47"/>
      <c r="R33" s="47"/>
      <c r="T33" s="8"/>
    </row>
    <row r="34" spans="1:20" x14ac:dyDescent="0.2">
      <c r="A34" s="122" t="s">
        <v>12</v>
      </c>
      <c r="B34" s="122" t="s">
        <v>112</v>
      </c>
      <c r="C34" s="122" t="s">
        <v>156</v>
      </c>
      <c r="D34" s="123">
        <f>SUM(E34:Q34)</f>
        <v>7758636</v>
      </c>
      <c r="E34" s="124">
        <f>7758636</f>
        <v>7758636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>D34/$D$9</f>
        <v>5.3141342465753423E-2</v>
      </c>
    </row>
    <row r="35" spans="1:20" x14ac:dyDescent="0.2">
      <c r="A35" s="122" t="s">
        <v>12</v>
      </c>
      <c r="B35" s="122" t="s">
        <v>112</v>
      </c>
      <c r="C35" s="122" t="s">
        <v>157</v>
      </c>
      <c r="D35" s="123">
        <f>SUM(E35:Q35)</f>
        <v>22580453.82</v>
      </c>
      <c r="E35" s="124">
        <f>22580453.82</f>
        <v>22580453.82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>D35/$D$9</f>
        <v>0.15466064260273973</v>
      </c>
    </row>
    <row r="36" spans="1:20" x14ac:dyDescent="0.2">
      <c r="A36" s="122" t="s">
        <v>12</v>
      </c>
      <c r="B36" s="122" t="s">
        <v>112</v>
      </c>
      <c r="C36" s="122" t="s">
        <v>158</v>
      </c>
      <c r="D36" s="123">
        <f>SUM(E36:Q36)</f>
        <v>2701425.43</v>
      </c>
      <c r="E36" s="124">
        <f>2701425.43</f>
        <v>2701425.43</v>
      </c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8">
        <f>D36/$D$9</f>
        <v>1.8502913904109589E-2</v>
      </c>
    </row>
    <row r="37" spans="1:20" x14ac:dyDescent="0.2">
      <c r="A37" s="56"/>
      <c r="B37" s="56"/>
      <c r="C37" s="56"/>
      <c r="E37" s="47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</row>
    <row r="38" spans="1:20" x14ac:dyDescent="0.2">
      <c r="A38" s="56" t="s">
        <v>12</v>
      </c>
      <c r="B38" s="56" t="s">
        <v>120</v>
      </c>
      <c r="C38" s="56" t="s">
        <v>37</v>
      </c>
      <c r="D38" s="35">
        <f>SUM(E38:Q38)</f>
        <v>1243079.8899999999</v>
      </c>
      <c r="E38" s="47">
        <f>920749.57+322330.32</f>
        <v>1243079.8899999999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ref="S38:S58" si="2">D38/$D$9</f>
        <v>8.5142458219178083E-3</v>
      </c>
    </row>
    <row r="39" spans="1:20" x14ac:dyDescent="0.2">
      <c r="A39" s="56" t="s">
        <v>12</v>
      </c>
      <c r="B39" s="56" t="s">
        <v>137</v>
      </c>
      <c r="C39" s="56" t="s">
        <v>138</v>
      </c>
      <c r="D39" s="35">
        <f t="shared" ref="D39:D56" si="3">SUM(E39:Q39)</f>
        <v>309177.5</v>
      </c>
      <c r="E39" s="47">
        <f>309177.5</f>
        <v>309177.5</v>
      </c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2"/>
        <v>2.117654109589041E-3</v>
      </c>
    </row>
    <row r="40" spans="1:20" hidden="1" x14ac:dyDescent="0.2">
      <c r="A40" s="56" t="s">
        <v>12</v>
      </c>
      <c r="B40" s="56"/>
      <c r="C40" s="56"/>
      <c r="D40" s="35">
        <f t="shared" si="3"/>
        <v>0</v>
      </c>
      <c r="E40" s="47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2"/>
        <v>0</v>
      </c>
    </row>
    <row r="41" spans="1:20" hidden="1" x14ac:dyDescent="0.2">
      <c r="A41" s="2" t="s">
        <v>13</v>
      </c>
      <c r="B41" s="56" t="s">
        <v>43</v>
      </c>
      <c r="C41" s="2" t="s">
        <v>39</v>
      </c>
      <c r="D41" s="35">
        <f t="shared" si="3"/>
        <v>0</v>
      </c>
      <c r="E41" s="47"/>
      <c r="F41" s="47"/>
      <c r="G41" s="47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2"/>
        <v>0</v>
      </c>
    </row>
    <row r="42" spans="1:20" hidden="1" x14ac:dyDescent="0.2">
      <c r="A42" s="2" t="s">
        <v>14</v>
      </c>
      <c r="B42" s="56" t="s">
        <v>44</v>
      </c>
      <c r="C42" s="2" t="s">
        <v>39</v>
      </c>
      <c r="D42" s="35">
        <f t="shared" si="3"/>
        <v>0</v>
      </c>
      <c r="E42" s="47"/>
      <c r="F42" s="47"/>
      <c r="G42" s="47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2"/>
        <v>0</v>
      </c>
    </row>
    <row r="43" spans="1:20" x14ac:dyDescent="0.2">
      <c r="A43" s="2" t="s">
        <v>15</v>
      </c>
      <c r="B43" s="56" t="s">
        <v>57</v>
      </c>
      <c r="C43" s="56" t="s">
        <v>62</v>
      </c>
      <c r="D43" s="35">
        <f t="shared" si="3"/>
        <v>290579.45</v>
      </c>
      <c r="E43" s="47"/>
      <c r="F43" s="47"/>
      <c r="G43" s="46"/>
      <c r="H43" s="47">
        <f>290579.45</f>
        <v>290579.45</v>
      </c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8">
        <f t="shared" si="2"/>
        <v>1.9902702054794522E-3</v>
      </c>
    </row>
    <row r="44" spans="1:20" x14ac:dyDescent="0.2">
      <c r="A44" s="56" t="s">
        <v>15</v>
      </c>
      <c r="B44" s="56" t="s">
        <v>114</v>
      </c>
      <c r="C44" s="56" t="s">
        <v>58</v>
      </c>
      <c r="D44" s="35">
        <f>SUM(E44:Q44)</f>
        <v>186792.71</v>
      </c>
      <c r="E44" s="47"/>
      <c r="F44" s="47"/>
      <c r="G44" s="46"/>
      <c r="H44" s="47">
        <f>74325.84+112466.87</f>
        <v>186792.71</v>
      </c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8">
        <f t="shared" si="2"/>
        <v>1.2794021232876711E-3</v>
      </c>
    </row>
    <row r="45" spans="1:20" x14ac:dyDescent="0.2">
      <c r="A45" s="56" t="s">
        <v>83</v>
      </c>
      <c r="B45" s="56" t="s">
        <v>60</v>
      </c>
      <c r="C45" s="56" t="s">
        <v>84</v>
      </c>
      <c r="D45" s="35">
        <f t="shared" si="3"/>
        <v>1419471.97</v>
      </c>
      <c r="E45" s="47"/>
      <c r="F45" s="47"/>
      <c r="G45" s="46"/>
      <c r="H45" s="47"/>
      <c r="I45" s="47">
        <f>1419471.97</f>
        <v>1419471.97</v>
      </c>
      <c r="J45" s="46"/>
      <c r="K45" s="46"/>
      <c r="L45" s="46"/>
      <c r="M45" s="46"/>
      <c r="N45" s="46"/>
      <c r="O45" s="46"/>
      <c r="P45" s="46"/>
      <c r="Q45" s="46"/>
      <c r="R45" s="46"/>
      <c r="S45" s="8">
        <f t="shared" si="2"/>
        <v>9.7224107534246568E-3</v>
      </c>
    </row>
    <row r="46" spans="1:20" x14ac:dyDescent="0.2">
      <c r="A46" s="56" t="s">
        <v>16</v>
      </c>
      <c r="B46" s="56" t="s">
        <v>56</v>
      </c>
      <c r="C46" s="56" t="s">
        <v>64</v>
      </c>
      <c r="D46" s="35">
        <f t="shared" si="3"/>
        <v>214728.51</v>
      </c>
      <c r="E46" s="47"/>
      <c r="F46" s="47"/>
      <c r="G46" s="46"/>
      <c r="H46" s="47"/>
      <c r="I46" s="47">
        <f>214728.51</f>
        <v>214728.51</v>
      </c>
      <c r="J46" s="46"/>
      <c r="K46" s="46"/>
      <c r="L46" s="46"/>
      <c r="M46" s="46"/>
      <c r="N46" s="46"/>
      <c r="O46" s="46"/>
      <c r="P46" s="46"/>
      <c r="Q46" s="46"/>
      <c r="R46" s="46"/>
      <c r="S46" s="8">
        <f t="shared" si="2"/>
        <v>1.4707432191780822E-3</v>
      </c>
    </row>
    <row r="47" spans="1:20" hidden="1" x14ac:dyDescent="0.2">
      <c r="A47" s="56" t="s">
        <v>16</v>
      </c>
      <c r="B47" s="56" t="s">
        <v>93</v>
      </c>
      <c r="C47" s="56" t="s">
        <v>94</v>
      </c>
      <c r="D47" s="35">
        <f t="shared" si="3"/>
        <v>0</v>
      </c>
      <c r="E47" s="47"/>
      <c r="F47" s="47"/>
      <c r="G47" s="46"/>
      <c r="H47" s="47"/>
      <c r="I47" s="47"/>
      <c r="J47" s="46"/>
      <c r="K47" s="46"/>
      <c r="L47" s="46"/>
      <c r="M47" s="46"/>
      <c r="N47" s="46"/>
      <c r="O47" s="46"/>
      <c r="P47" s="46"/>
      <c r="Q47" s="46"/>
      <c r="R47" s="46"/>
      <c r="S47" s="8">
        <f t="shared" si="2"/>
        <v>0</v>
      </c>
    </row>
    <row r="48" spans="1:20" x14ac:dyDescent="0.2">
      <c r="A48" s="2" t="s">
        <v>59</v>
      </c>
      <c r="B48" s="56" t="s">
        <v>57</v>
      </c>
      <c r="C48" s="56" t="s">
        <v>63</v>
      </c>
      <c r="D48" s="35">
        <f t="shared" si="3"/>
        <v>2985911.2</v>
      </c>
      <c r="E48" s="47"/>
      <c r="F48" s="47"/>
      <c r="G48" s="46"/>
      <c r="H48" s="47"/>
      <c r="I48" s="46"/>
      <c r="J48" s="47"/>
      <c r="K48" s="47">
        <f>2985911.2</f>
        <v>2985911.2</v>
      </c>
      <c r="L48" s="46"/>
      <c r="M48" s="46"/>
      <c r="N48" s="46"/>
      <c r="O48" s="46"/>
      <c r="P48" s="46"/>
      <c r="Q48" s="46"/>
      <c r="R48" s="46"/>
      <c r="S48" s="8">
        <f t="shared" si="2"/>
        <v>2.0451446575342466E-2</v>
      </c>
    </row>
    <row r="49" spans="1:20" x14ac:dyDescent="0.2">
      <c r="A49" s="86" t="s">
        <v>20</v>
      </c>
      <c r="B49" s="81" t="s">
        <v>91</v>
      </c>
      <c r="C49" s="81" t="s">
        <v>92</v>
      </c>
      <c r="D49" s="48">
        <f>SUM(E49:Q49)</f>
        <v>327298.65000000002</v>
      </c>
      <c r="E49" s="82"/>
      <c r="F49" s="83"/>
      <c r="G49" s="83"/>
      <c r="H49" s="83"/>
      <c r="I49" s="83"/>
      <c r="J49" s="83"/>
      <c r="K49" s="83"/>
      <c r="L49" s="82"/>
      <c r="M49" s="82"/>
      <c r="N49" s="82">
        <f>327298.65</f>
        <v>327298.65000000002</v>
      </c>
      <c r="O49" s="83"/>
      <c r="P49" s="83"/>
      <c r="Q49" s="83"/>
      <c r="R49" s="83"/>
      <c r="S49" s="49">
        <f t="shared" si="2"/>
        <v>2.241771575342466E-3</v>
      </c>
      <c r="T49" s="8"/>
    </row>
    <row r="50" spans="1:20" x14ac:dyDescent="0.2">
      <c r="A50" s="2" t="s">
        <v>12</v>
      </c>
      <c r="B50" s="56" t="s">
        <v>50</v>
      </c>
      <c r="C50" s="2" t="s">
        <v>51</v>
      </c>
      <c r="D50" s="35">
        <f t="shared" si="3"/>
        <v>32646.23</v>
      </c>
      <c r="E50" s="35">
        <f>32646.23</f>
        <v>32646.23</v>
      </c>
      <c r="S50" s="8">
        <f t="shared" si="2"/>
        <v>2.2360431506849316E-4</v>
      </c>
    </row>
    <row r="51" spans="1:20" x14ac:dyDescent="0.2">
      <c r="A51" s="56" t="s">
        <v>13</v>
      </c>
      <c r="B51" s="56" t="s">
        <v>52</v>
      </c>
      <c r="C51" s="56" t="s">
        <v>53</v>
      </c>
      <c r="D51" s="35">
        <f t="shared" si="3"/>
        <v>15783.01</v>
      </c>
      <c r="F51" s="35">
        <f>15783.01</f>
        <v>15783.01</v>
      </c>
      <c r="S51" s="8">
        <f t="shared" si="2"/>
        <v>1.0810280821917808E-4</v>
      </c>
    </row>
    <row r="52" spans="1:20" x14ac:dyDescent="0.2">
      <c r="A52" s="56" t="s">
        <v>16</v>
      </c>
      <c r="B52" s="56" t="s">
        <v>45</v>
      </c>
      <c r="C52" s="56" t="s">
        <v>48</v>
      </c>
      <c r="D52" s="35">
        <f t="shared" si="3"/>
        <v>781832.89</v>
      </c>
      <c r="I52" s="35">
        <f>781832.89</f>
        <v>781832.89</v>
      </c>
      <c r="S52" s="8">
        <f t="shared" si="2"/>
        <v>5.3550197945205482E-3</v>
      </c>
    </row>
    <row r="53" spans="1:20" x14ac:dyDescent="0.2">
      <c r="A53" s="2" t="s">
        <v>16</v>
      </c>
      <c r="B53" s="56" t="s">
        <v>61</v>
      </c>
      <c r="C53" s="56" t="s">
        <v>86</v>
      </c>
      <c r="D53" s="35">
        <f t="shared" si="3"/>
        <v>8000357.7300000004</v>
      </c>
      <c r="I53" s="35">
        <f>8000357.73</f>
        <v>8000357.7300000004</v>
      </c>
      <c r="S53" s="8">
        <f t="shared" si="2"/>
        <v>5.4796970753424663E-2</v>
      </c>
    </row>
    <row r="54" spans="1:20" x14ac:dyDescent="0.2">
      <c r="A54" s="56" t="s">
        <v>16</v>
      </c>
      <c r="B54" s="56" t="s">
        <v>124</v>
      </c>
      <c r="C54" s="56" t="s">
        <v>67</v>
      </c>
      <c r="D54" s="35">
        <f t="shared" si="3"/>
        <v>7257223.1399999997</v>
      </c>
      <c r="I54" s="35">
        <f>7257223.14</f>
        <v>7257223.1399999997</v>
      </c>
      <c r="S54" s="8">
        <f t="shared" si="2"/>
        <v>4.9707007808219177E-2</v>
      </c>
    </row>
    <row r="55" spans="1:20" x14ac:dyDescent="0.2">
      <c r="A55" s="56" t="s">
        <v>20</v>
      </c>
      <c r="B55" s="56" t="s">
        <v>66</v>
      </c>
      <c r="C55" s="56" t="s">
        <v>54</v>
      </c>
      <c r="D55" s="35">
        <f t="shared" si="3"/>
        <v>599973.81999999995</v>
      </c>
      <c r="N55" s="35">
        <f>599973.82</f>
        <v>599973.81999999995</v>
      </c>
      <c r="S55" s="8">
        <f t="shared" si="2"/>
        <v>4.1094097260273967E-3</v>
      </c>
    </row>
    <row r="56" spans="1:20" x14ac:dyDescent="0.2">
      <c r="A56" s="2" t="s">
        <v>22</v>
      </c>
      <c r="B56" s="56" t="s">
        <v>125</v>
      </c>
      <c r="C56" t="s">
        <v>68</v>
      </c>
      <c r="D56" s="35">
        <f t="shared" si="3"/>
        <v>6408227.9799999995</v>
      </c>
      <c r="P56" s="109">
        <f>5861661.84+546566.14</f>
        <v>6408227.9799999995</v>
      </c>
      <c r="S56" s="8">
        <f t="shared" si="2"/>
        <v>4.3891972465753423E-2</v>
      </c>
    </row>
    <row r="57" spans="1:20" x14ac:dyDescent="0.2">
      <c r="A57" s="2" t="s">
        <v>22</v>
      </c>
      <c r="B57" s="56" t="s">
        <v>127</v>
      </c>
      <c r="C57" t="s">
        <v>49</v>
      </c>
      <c r="D57" s="35">
        <f>SUM(E57:R57)</f>
        <v>37877789.82</v>
      </c>
      <c r="P57" s="35">
        <f>16460727.15+12601092.37+8311387.07+56750.82+447832.41</f>
        <v>37877789.82</v>
      </c>
      <c r="S57" s="8">
        <f t="shared" si="2"/>
        <v>0.25943691657534246</v>
      </c>
    </row>
    <row r="58" spans="1:20" x14ac:dyDescent="0.2">
      <c r="A58" s="56" t="s">
        <v>22</v>
      </c>
      <c r="B58" s="56" t="s">
        <v>142</v>
      </c>
      <c r="C58" s="56" t="s">
        <v>143</v>
      </c>
      <c r="D58" s="35">
        <f>SUM(E58:R58)</f>
        <v>10150.83</v>
      </c>
      <c r="P58" s="35">
        <f>10150.83</f>
        <v>10150.83</v>
      </c>
      <c r="S58" s="8">
        <f t="shared" si="2"/>
        <v>6.9526232876712324E-5</v>
      </c>
    </row>
    <row r="59" spans="1:20" ht="13.5" thickBot="1" x14ac:dyDescent="0.25">
      <c r="A59" s="75" t="s">
        <v>59</v>
      </c>
      <c r="B59" s="75"/>
      <c r="C59" s="80" t="s">
        <v>128</v>
      </c>
      <c r="D59" s="76">
        <f>146000000-SUM(D31:D58)</f>
        <v>41985459.239999995</v>
      </c>
      <c r="E59" s="77"/>
      <c r="F59" s="78"/>
      <c r="G59" s="78"/>
      <c r="H59" s="78"/>
      <c r="I59" s="78"/>
      <c r="J59" s="78"/>
      <c r="K59" s="78"/>
      <c r="L59" s="77"/>
      <c r="M59" s="77"/>
      <c r="N59" s="77"/>
      <c r="O59" s="78"/>
      <c r="P59" s="77"/>
      <c r="Q59" s="77"/>
      <c r="R59" s="77">
        <f>44998459.42-3013000.18</f>
        <v>41985459.240000002</v>
      </c>
      <c r="S59" s="129">
        <f>D59/D9</f>
        <v>0.28757163863013696</v>
      </c>
      <c r="T59" s="8"/>
    </row>
    <row r="60" spans="1:20" ht="13.5" thickTop="1" x14ac:dyDescent="0.2">
      <c r="A60" s="2" t="s">
        <v>12</v>
      </c>
      <c r="B60" s="56" t="s">
        <v>125</v>
      </c>
      <c r="C60" s="2" t="s">
        <v>46</v>
      </c>
      <c r="D60" s="35">
        <f>SUM(E60:Q60)</f>
        <v>13265004.609999999</v>
      </c>
      <c r="E60" s="47">
        <f>9312023.08+3952981.53</f>
        <v>13265004.609999999</v>
      </c>
      <c r="F60" s="46"/>
      <c r="G60" s="46"/>
      <c r="H60" s="46"/>
      <c r="I60" s="46"/>
      <c r="J60" s="46"/>
      <c r="K60" s="46"/>
      <c r="L60" s="47"/>
      <c r="M60" s="47"/>
      <c r="N60" s="47"/>
      <c r="O60" s="46"/>
      <c r="P60" s="47"/>
      <c r="Q60" s="47"/>
      <c r="R60" s="47"/>
      <c r="S60" s="8">
        <f>D60/$D$11</f>
        <v>0.165812557625</v>
      </c>
      <c r="T60" s="8"/>
    </row>
    <row r="61" spans="1:20" x14ac:dyDescent="0.2">
      <c r="A61" s="2" t="s">
        <v>12</v>
      </c>
      <c r="B61" s="56" t="s">
        <v>126</v>
      </c>
      <c r="C61" s="2" t="s">
        <v>47</v>
      </c>
      <c r="D61" s="35">
        <f>SUM(E61:Q61)</f>
        <v>66734995.390000001</v>
      </c>
      <c r="E61" s="35">
        <f>20828474.09+43000000+2906521.3</f>
        <v>66734995.390000001</v>
      </c>
      <c r="S61" s="8">
        <f>D61/$D11</f>
        <v>0.83418744237499998</v>
      </c>
    </row>
    <row r="62" spans="1:20" x14ac:dyDescent="0.2"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9"/>
    </row>
    <row r="63" spans="1:20" s="8" customFormat="1" ht="13.5" thickBot="1" x14ac:dyDescent="0.25">
      <c r="B63" s="50"/>
      <c r="C63" s="51" t="s">
        <v>26</v>
      </c>
      <c r="D63" s="52"/>
      <c r="E63" s="53">
        <f>E5/D5</f>
        <v>0.49061623239669422</v>
      </c>
      <c r="F63" s="53">
        <f>F5/D5</f>
        <v>1.7633763016528928E-2</v>
      </c>
      <c r="G63" s="53">
        <f>G5/D5</f>
        <v>0</v>
      </c>
      <c r="H63" s="53">
        <f>H5/D5</f>
        <v>8.3552164876033071E-3</v>
      </c>
      <c r="I63" s="53">
        <f>I5/D5</f>
        <v>7.3503607644628099E-2</v>
      </c>
      <c r="J63" s="53">
        <f>J5/D5</f>
        <v>0</v>
      </c>
      <c r="K63" s="53">
        <f>K5/D5</f>
        <v>1.3702799256198347E-2</v>
      </c>
      <c r="L63" s="53">
        <f>L5/D5</f>
        <v>1.84928652892562E-3</v>
      </c>
      <c r="M63" s="53">
        <f>M5/D5</f>
        <v>3.1280506198347107E-3</v>
      </c>
      <c r="N63" s="53">
        <f>N5/D5</f>
        <v>5.0811235123966935E-3</v>
      </c>
      <c r="O63" s="53">
        <f>O5/D5</f>
        <v>4.9241038842975215E-3</v>
      </c>
      <c r="P63" s="53">
        <f>P5/D5</f>
        <v>0.19405477177685948</v>
      </c>
      <c r="Q63" s="53">
        <f>Q5/D5</f>
        <v>1.206997685950413E-3</v>
      </c>
      <c r="R63" s="53"/>
      <c r="S63" s="53"/>
    </row>
    <row r="64" spans="1:20" s="8" customFormat="1" ht="13.5" thickTop="1" x14ac:dyDescent="0.2">
      <c r="A64" s="54"/>
      <c r="C64" s="51"/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61"/>
  <sheetViews>
    <sheetView zoomScale="95" zoomScaleNormal="9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H16" sqref="H16"/>
    </sheetView>
  </sheetViews>
  <sheetFormatPr defaultRowHeight="12.75" x14ac:dyDescent="0.2"/>
  <cols>
    <col min="1" max="1" width="8.85546875" customWidth="1"/>
    <col min="2" max="2" width="15.7109375" customWidth="1"/>
    <col min="3" max="3" width="36.5703125" customWidth="1"/>
    <col min="4" max="4" width="15.42578125" style="35" customWidth="1"/>
    <col min="5" max="5" width="15.5703125" style="35" customWidth="1"/>
    <col min="6" max="6" width="12.7109375" style="35" customWidth="1"/>
    <col min="7" max="7" width="10.85546875" style="35" hidden="1" customWidth="1"/>
    <col min="8" max="8" width="13" style="35" customWidth="1"/>
    <col min="9" max="9" width="14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3.28515625" style="35" customWidth="1"/>
    <col min="15" max="15" width="12.7109375" style="35" customWidth="1"/>
    <col min="16" max="16" width="14.42578125" style="35" customWidth="1"/>
    <col min="17" max="17" width="12.7109375" style="35" customWidth="1"/>
    <col min="18" max="18" width="14.28515625" style="35" customWidth="1"/>
    <col min="19" max="19" width="12.7109375" style="8" customWidth="1"/>
    <col min="20" max="20" width="11.28515625" bestFit="1" customWidth="1"/>
    <col min="22" max="22" width="10" bestFit="1" customWidth="1"/>
  </cols>
  <sheetData>
    <row r="1" spans="1:23" x14ac:dyDescent="0.2">
      <c r="A1" s="63" t="s">
        <v>98</v>
      </c>
    </row>
    <row r="3" spans="1:23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23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23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120495585.88999999</v>
      </c>
      <c r="F5" s="43">
        <f t="shared" si="0"/>
        <v>4267370.6500000004</v>
      </c>
      <c r="G5" s="43">
        <f t="shared" si="0"/>
        <v>0</v>
      </c>
      <c r="H5" s="43">
        <f t="shared" si="0"/>
        <v>2837048.6</v>
      </c>
      <c r="I5" s="43">
        <f t="shared" si="0"/>
        <v>18667236.43</v>
      </c>
      <c r="J5" s="43">
        <f t="shared" si="0"/>
        <v>0</v>
      </c>
      <c r="K5" s="43">
        <f t="shared" si="0"/>
        <v>3316077.42</v>
      </c>
      <c r="L5" s="43">
        <f t="shared" si="0"/>
        <v>447527.34</v>
      </c>
      <c r="M5" s="43">
        <f t="shared" si="0"/>
        <v>756988.25</v>
      </c>
      <c r="N5" s="43">
        <f t="shared" si="0"/>
        <v>1656125.23</v>
      </c>
      <c r="O5" s="43">
        <f t="shared" si="0"/>
        <v>1191633.1400000001</v>
      </c>
      <c r="P5" s="43">
        <f t="shared" si="0"/>
        <v>63648421.640000001</v>
      </c>
      <c r="Q5" s="43">
        <f t="shared" si="0"/>
        <v>292093.43999999994</v>
      </c>
      <c r="R5" s="43">
        <f t="shared" si="0"/>
        <v>24423891.969999999</v>
      </c>
      <c r="S5" s="44"/>
    </row>
    <row r="6" spans="1:23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23" s="42" customFormat="1" ht="13.5" thickBot="1" x14ac:dyDescent="0.25">
      <c r="C7" s="74" t="s">
        <v>81</v>
      </c>
      <c r="D7" s="43">
        <f>SUM(E7:R7)</f>
        <v>16000000.000000002</v>
      </c>
      <c r="E7" s="43">
        <f>E13+E14</f>
        <v>4103709.37</v>
      </c>
      <c r="F7" s="43">
        <f>F15</f>
        <v>4251587.6400000006</v>
      </c>
      <c r="G7" s="43"/>
      <c r="H7" s="43">
        <f>H16+H17</f>
        <v>1544590.23</v>
      </c>
      <c r="I7" s="43">
        <f>I18</f>
        <v>114258.81</v>
      </c>
      <c r="J7" s="43">
        <f>J19</f>
        <v>0</v>
      </c>
      <c r="K7" s="43">
        <f>K20</f>
        <v>330166.21999999997</v>
      </c>
      <c r="L7" s="43">
        <f>L21</f>
        <v>447527.34</v>
      </c>
      <c r="M7" s="43">
        <f>M23+M24</f>
        <v>756988.25</v>
      </c>
      <c r="N7" s="43">
        <f>N25</f>
        <v>302359.42</v>
      </c>
      <c r="O7" s="43">
        <f>O26</f>
        <v>1191633.1400000001</v>
      </c>
      <c r="P7" s="43">
        <f>P28</f>
        <v>2665086.1400000006</v>
      </c>
      <c r="Q7" s="43">
        <f>Q29</f>
        <v>292093.43999999994</v>
      </c>
      <c r="R7" s="43">
        <v>0</v>
      </c>
      <c r="S7" s="44">
        <f>SUM(S13:S29)</f>
        <v>1</v>
      </c>
    </row>
    <row r="8" spans="1:23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23" s="42" customFormat="1" ht="13.5" thickBot="1" x14ac:dyDescent="0.25">
      <c r="C9" s="74" t="s">
        <v>82</v>
      </c>
      <c r="D9" s="43">
        <f>SUM(E9:R9)</f>
        <v>146000000</v>
      </c>
      <c r="E9" s="43">
        <f>E30+E31+E32+E33+E45+E34+E46</f>
        <v>36391876.519999988</v>
      </c>
      <c r="F9" s="43">
        <f>F47</f>
        <v>15783.01</v>
      </c>
      <c r="G9" s="43"/>
      <c r="H9" s="43">
        <f>H39+H38+H48</f>
        <v>1292458.3700000001</v>
      </c>
      <c r="I9" s="43">
        <f>I40+I41+I49+I50+I51+I42</f>
        <v>18552977.620000001</v>
      </c>
      <c r="J9" s="43">
        <v>0</v>
      </c>
      <c r="K9" s="43">
        <f>K43</f>
        <v>2985911.2</v>
      </c>
      <c r="L9" s="43">
        <v>0</v>
      </c>
      <c r="M9" s="43">
        <v>0</v>
      </c>
      <c r="N9" s="43">
        <f>N44+N52</f>
        <v>1353765.81</v>
      </c>
      <c r="O9" s="43"/>
      <c r="P9" s="43">
        <f>P53+P54+P55</f>
        <v>60983335.5</v>
      </c>
      <c r="Q9" s="43">
        <v>0</v>
      </c>
      <c r="R9" s="43">
        <f>R56</f>
        <v>24423891.969999999</v>
      </c>
      <c r="S9" s="44">
        <f>SUM(S30:S56)</f>
        <v>1</v>
      </c>
    </row>
    <row r="10" spans="1:23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3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E57+E58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S57+S58</f>
        <v>1</v>
      </c>
    </row>
    <row r="12" spans="1:23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23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f>4021524.18</f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23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f>82185.19</f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5.1365743749999995E-3</v>
      </c>
    </row>
    <row r="15" spans="1:23" x14ac:dyDescent="0.2">
      <c r="A15" s="2" t="s">
        <v>13</v>
      </c>
      <c r="B15" s="56" t="s">
        <v>122</v>
      </c>
      <c r="C15" s="56" t="s">
        <v>35</v>
      </c>
      <c r="D15" s="35">
        <f t="shared" si="1"/>
        <v>4251587.6400000006</v>
      </c>
      <c r="E15" s="47"/>
      <c r="F15" s="47">
        <f>3013000.18+62512.36+429133.23+47446+646142.72+39277.38+10483.21+87.36+2590.32+679.68+235.2</f>
        <v>4251587.6400000006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8">
        <f>D15/D7</f>
        <v>0.26572422750000002</v>
      </c>
    </row>
    <row r="16" spans="1:23" x14ac:dyDescent="0.2">
      <c r="A16" s="2" t="s">
        <v>15</v>
      </c>
      <c r="B16" s="56" t="s">
        <v>145</v>
      </c>
      <c r="C16" s="56" t="s">
        <v>35</v>
      </c>
      <c r="D16" s="35">
        <f t="shared" si="1"/>
        <v>387867.72000000003</v>
      </c>
      <c r="E16" s="47"/>
      <c r="F16" s="47"/>
      <c r="G16" s="46"/>
      <c r="H16" s="47">
        <f>89800+293494.89+4572.83</f>
        <v>387867.72000000003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2.4241732499999998E-2</v>
      </c>
      <c r="U16">
        <v>89800</v>
      </c>
      <c r="V16">
        <v>293494.89</v>
      </c>
      <c r="W16">
        <v>4572.83</v>
      </c>
    </row>
    <row r="17" spans="1:22" x14ac:dyDescent="0.2">
      <c r="A17" s="56" t="s">
        <v>15</v>
      </c>
      <c r="B17" s="56" t="s">
        <v>117</v>
      </c>
      <c r="C17" s="56" t="s">
        <v>39</v>
      </c>
      <c r="D17" s="35">
        <f t="shared" si="1"/>
        <v>1156722.51</v>
      </c>
      <c r="E17" s="47"/>
      <c r="F17" s="47"/>
      <c r="G17" s="46"/>
      <c r="H17" s="47">
        <f>1098316.5+58406.01</f>
        <v>1156722.51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7.2295156874999988E-2</v>
      </c>
      <c r="U17">
        <v>58406.01</v>
      </c>
      <c r="V17">
        <v>1098316.5</v>
      </c>
    </row>
    <row r="18" spans="1:22" x14ac:dyDescent="0.2">
      <c r="A18" s="2" t="s">
        <v>16</v>
      </c>
      <c r="B18" s="56" t="s">
        <v>140</v>
      </c>
      <c r="C18" s="56" t="s">
        <v>35</v>
      </c>
      <c r="D18" s="35">
        <f t="shared" si="1"/>
        <v>114258.81</v>
      </c>
      <c r="E18" s="47"/>
      <c r="F18" s="47"/>
      <c r="G18" s="46"/>
      <c r="H18" s="47"/>
      <c r="I18" s="47">
        <f>75864.25+38394.56</f>
        <v>114258.81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7.1411756249999993E-3</v>
      </c>
    </row>
    <row r="19" spans="1:22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22" x14ac:dyDescent="0.2">
      <c r="A20" s="2" t="s">
        <v>59</v>
      </c>
      <c r="B20" s="56" t="s">
        <v>136</v>
      </c>
      <c r="C20" s="56" t="s">
        <v>39</v>
      </c>
      <c r="D20" s="35">
        <f t="shared" si="1"/>
        <v>330166.21999999997</v>
      </c>
      <c r="E20" s="47"/>
      <c r="F20" s="47"/>
      <c r="G20" s="46"/>
      <c r="H20" s="47"/>
      <c r="I20" s="46"/>
      <c r="J20" s="47"/>
      <c r="K20" s="47">
        <f>145740.07+184426.15</f>
        <v>330166.21999999997</v>
      </c>
      <c r="L20" s="46"/>
      <c r="M20" s="46"/>
      <c r="N20" s="46"/>
      <c r="O20" s="46"/>
      <c r="P20" s="46"/>
      <c r="Q20" s="46"/>
      <c r="R20" s="46"/>
      <c r="S20" s="8">
        <f>D20/D7</f>
        <v>2.0635388749999997E-2</v>
      </c>
    </row>
    <row r="21" spans="1:22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447527.34</v>
      </c>
      <c r="E21" s="47"/>
      <c r="F21" s="47"/>
      <c r="G21" s="46"/>
      <c r="H21" s="47"/>
      <c r="I21" s="46"/>
      <c r="J21" s="47"/>
      <c r="K21" s="47"/>
      <c r="L21" s="47">
        <f>447527.34</f>
        <v>447527.34</v>
      </c>
      <c r="M21" s="46"/>
      <c r="N21" s="46"/>
      <c r="O21" s="46"/>
      <c r="P21" s="46"/>
      <c r="Q21" s="46"/>
      <c r="R21" s="46"/>
      <c r="S21" s="8">
        <f>D21/D7</f>
        <v>2.797045875E-2</v>
      </c>
    </row>
    <row r="22" spans="1:22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22" x14ac:dyDescent="0.2">
      <c r="A23" s="2" t="s">
        <v>19</v>
      </c>
      <c r="B23" s="56" t="s">
        <v>116</v>
      </c>
      <c r="C23" s="56" t="s">
        <v>35</v>
      </c>
      <c r="D23" s="35">
        <f t="shared" si="1"/>
        <v>756988.25</v>
      </c>
      <c r="E23" s="47"/>
      <c r="F23" s="46"/>
      <c r="G23" s="46"/>
      <c r="H23" s="46"/>
      <c r="I23" s="46"/>
      <c r="J23" s="46"/>
      <c r="K23" s="46"/>
      <c r="L23" s="47"/>
      <c r="M23" s="47">
        <f>198994.71+309000+248993.54</f>
        <v>756988.25</v>
      </c>
      <c r="N23" s="46"/>
      <c r="O23" s="46"/>
      <c r="P23" s="46"/>
      <c r="Q23" s="46"/>
      <c r="R23" s="46"/>
      <c r="S23" s="8">
        <f>D23/D7</f>
        <v>4.7311765624999995E-2</v>
      </c>
    </row>
    <row r="24" spans="1:22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22" x14ac:dyDescent="0.2">
      <c r="A25" s="2" t="s">
        <v>20</v>
      </c>
      <c r="B25" s="56" t="s">
        <v>141</v>
      </c>
      <c r="C25" s="56" t="s">
        <v>35</v>
      </c>
      <c r="D25" s="35">
        <f t="shared" si="1"/>
        <v>302359.42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94557.56+179395.12+23047.08+5359.66</f>
        <v>302359.42</v>
      </c>
      <c r="O25" s="46"/>
      <c r="P25" s="46"/>
      <c r="Q25" s="46"/>
      <c r="R25" s="46"/>
      <c r="S25" s="8">
        <f>D25/D7</f>
        <v>1.8897463749999996E-2</v>
      </c>
    </row>
    <row r="26" spans="1:22" x14ac:dyDescent="0.2">
      <c r="A26" s="2" t="s">
        <v>21</v>
      </c>
      <c r="B26" s="56" t="s">
        <v>139</v>
      </c>
      <c r="C26" s="56" t="s">
        <v>35</v>
      </c>
      <c r="D26" s="35">
        <f t="shared" si="1"/>
        <v>1191633.1400000001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137991.19+238902.37+486586.83+328152.75</f>
        <v>1191633.1400000001</v>
      </c>
      <c r="P26" s="46"/>
      <c r="Q26" s="46"/>
      <c r="R26" s="46"/>
      <c r="S26" s="8">
        <f>D26/D7</f>
        <v>7.4477071249999999E-2</v>
      </c>
    </row>
    <row r="27" spans="1:22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22" x14ac:dyDescent="0.2">
      <c r="A28" s="2" t="s">
        <v>22</v>
      </c>
      <c r="B28" s="56" t="s">
        <v>123</v>
      </c>
      <c r="C28" s="56" t="s">
        <v>35</v>
      </c>
      <c r="D28" s="35">
        <f t="shared" si="1"/>
        <v>2665086.1400000006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404671.71+1054256.82+578114.15+513210.16+104524.91+10018.39+290</f>
        <v>2665086.1400000006</v>
      </c>
      <c r="Q28" s="46"/>
      <c r="R28" s="46"/>
      <c r="S28" s="8">
        <f>D28/D7</f>
        <v>0.16656788375000001</v>
      </c>
    </row>
    <row r="29" spans="1:22" ht="13.5" thickBot="1" x14ac:dyDescent="0.25">
      <c r="A29" s="103" t="s">
        <v>23</v>
      </c>
      <c r="B29" s="104" t="s">
        <v>121</v>
      </c>
      <c r="C29" s="104" t="s">
        <v>35</v>
      </c>
      <c r="D29" s="105">
        <f>SUM(E29:R29)</f>
        <v>292093.43999999994</v>
      </c>
      <c r="E29" s="106"/>
      <c r="F29" s="107"/>
      <c r="G29" s="107"/>
      <c r="H29" s="107"/>
      <c r="I29" s="107"/>
      <c r="J29" s="107"/>
      <c r="K29" s="107"/>
      <c r="L29" s="106"/>
      <c r="M29" s="106"/>
      <c r="N29" s="106"/>
      <c r="O29" s="107"/>
      <c r="P29" s="106"/>
      <c r="Q29" s="106">
        <f>164124.54+23808.8+81771.25+22388.85</f>
        <v>292093.43999999994</v>
      </c>
      <c r="R29" s="106"/>
      <c r="S29" s="108">
        <f>D29/D7</f>
        <v>1.8255839999999995E-2</v>
      </c>
      <c r="T29" s="8"/>
    </row>
    <row r="30" spans="1:22" x14ac:dyDescent="0.2">
      <c r="A30" s="56" t="s">
        <v>12</v>
      </c>
      <c r="B30" s="56" t="s">
        <v>112</v>
      </c>
      <c r="C30" s="56" t="s">
        <v>109</v>
      </c>
      <c r="D30" s="35">
        <f>SUM(E30:Q30)</f>
        <v>7760000</v>
      </c>
      <c r="E30" s="47">
        <v>7760000</v>
      </c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8">
        <f>D30/$D$9</f>
        <v>5.3150684931506847E-2</v>
      </c>
    </row>
    <row r="31" spans="1:22" x14ac:dyDescent="0.2">
      <c r="A31" s="56" t="s">
        <v>12</v>
      </c>
      <c r="B31" s="56" t="s">
        <v>112</v>
      </c>
      <c r="C31" s="56" t="s">
        <v>110</v>
      </c>
      <c r="D31" s="35">
        <f>SUM(E31:Q31)</f>
        <v>23550000</v>
      </c>
      <c r="E31" s="47">
        <f>23550000</f>
        <v>23550000</v>
      </c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8">
        <f>D31/$D$9</f>
        <v>0.16130136986301369</v>
      </c>
    </row>
    <row r="32" spans="1:22" x14ac:dyDescent="0.2">
      <c r="A32" s="56" t="s">
        <v>12</v>
      </c>
      <c r="B32" s="56" t="s">
        <v>112</v>
      </c>
      <c r="C32" s="56" t="s">
        <v>111</v>
      </c>
      <c r="D32" s="35">
        <f>SUM(E32:Q32)</f>
        <v>2959404.98</v>
      </c>
      <c r="E32" s="47">
        <f>2959404.98</f>
        <v>2959404.98</v>
      </c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8">
        <f>D32/$D$9</f>
        <v>2.026989712328767E-2</v>
      </c>
    </row>
    <row r="33" spans="1:21" x14ac:dyDescent="0.2">
      <c r="A33" s="56" t="s">
        <v>12</v>
      </c>
      <c r="B33" s="56" t="s">
        <v>120</v>
      </c>
      <c r="C33" s="56" t="s">
        <v>37</v>
      </c>
      <c r="D33" s="35">
        <f>SUM(E33:Q33)</f>
        <v>1450212.9000000001</v>
      </c>
      <c r="E33" s="47">
        <f>1127882.58+322330.32</f>
        <v>1450212.9000000001</v>
      </c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8">
        <f t="shared" ref="S33:S55" si="2">D33/$D$9</f>
        <v>9.9329650684931523E-3</v>
      </c>
    </row>
    <row r="34" spans="1:21" x14ac:dyDescent="0.2">
      <c r="A34" s="56" t="s">
        <v>12</v>
      </c>
      <c r="B34" s="56" t="s">
        <v>137</v>
      </c>
      <c r="C34" s="56" t="s">
        <v>138</v>
      </c>
      <c r="D34" s="35">
        <f t="shared" ref="D34:D53" si="3">SUM(E34:Q34)</f>
        <v>587779.41</v>
      </c>
      <c r="E34" s="47">
        <f>587779.41</f>
        <v>587779.41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 t="shared" si="2"/>
        <v>4.0258863698630137E-3</v>
      </c>
    </row>
    <row r="35" spans="1:21" hidden="1" x14ac:dyDescent="0.2">
      <c r="A35" s="56" t="s">
        <v>12</v>
      </c>
      <c r="B35" s="56"/>
      <c r="C35" s="56"/>
      <c r="D35" s="35">
        <f t="shared" si="3"/>
        <v>0</v>
      </c>
      <c r="E35" s="47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 t="shared" si="2"/>
        <v>0</v>
      </c>
    </row>
    <row r="36" spans="1:21" hidden="1" x14ac:dyDescent="0.2">
      <c r="A36" s="2" t="s">
        <v>13</v>
      </c>
      <c r="B36" s="56" t="s">
        <v>43</v>
      </c>
      <c r="C36" s="2" t="s">
        <v>39</v>
      </c>
      <c r="D36" s="35">
        <f t="shared" si="3"/>
        <v>0</v>
      </c>
      <c r="E36" s="47"/>
      <c r="F36" s="47"/>
      <c r="G36" s="47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8">
        <f t="shared" si="2"/>
        <v>0</v>
      </c>
    </row>
    <row r="37" spans="1:21" hidden="1" x14ac:dyDescent="0.2">
      <c r="A37" s="2" t="s">
        <v>14</v>
      </c>
      <c r="B37" s="56" t="s">
        <v>44</v>
      </c>
      <c r="C37" s="2" t="s">
        <v>39</v>
      </c>
      <c r="D37" s="35">
        <f t="shared" si="3"/>
        <v>0</v>
      </c>
      <c r="E37" s="47"/>
      <c r="F37" s="47"/>
      <c r="G37" s="47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 t="shared" si="2"/>
        <v>0</v>
      </c>
    </row>
    <row r="38" spans="1:21" x14ac:dyDescent="0.2">
      <c r="A38" s="2" t="s">
        <v>15</v>
      </c>
      <c r="B38" s="56" t="s">
        <v>57</v>
      </c>
      <c r="C38" s="56" t="s">
        <v>62</v>
      </c>
      <c r="D38" s="35">
        <f t="shared" si="3"/>
        <v>572554.53</v>
      </c>
      <c r="E38" s="47"/>
      <c r="F38" s="47"/>
      <c r="G38" s="46"/>
      <c r="H38" s="47">
        <f>572554.53</f>
        <v>572554.53</v>
      </c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si="2"/>
        <v>3.9216063698630137E-3</v>
      </c>
    </row>
    <row r="39" spans="1:21" x14ac:dyDescent="0.2">
      <c r="A39" s="56" t="s">
        <v>15</v>
      </c>
      <c r="B39" s="56" t="s">
        <v>114</v>
      </c>
      <c r="C39" s="56" t="s">
        <v>58</v>
      </c>
      <c r="D39" s="35">
        <f>SUM(E39:Q39)</f>
        <v>430901.04</v>
      </c>
      <c r="E39" s="47"/>
      <c r="F39" s="47"/>
      <c r="G39" s="46"/>
      <c r="H39" s="47">
        <f>95764.73+335136.31</f>
        <v>430901.04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2"/>
        <v>2.9513769863013699E-3</v>
      </c>
      <c r="U39">
        <v>95764.73</v>
      </c>
    </row>
    <row r="40" spans="1:21" x14ac:dyDescent="0.2">
      <c r="A40" s="56" t="s">
        <v>83</v>
      </c>
      <c r="B40" s="56" t="s">
        <v>60</v>
      </c>
      <c r="C40" s="56" t="s">
        <v>84</v>
      </c>
      <c r="D40" s="35">
        <f t="shared" si="3"/>
        <v>2186347.42</v>
      </c>
      <c r="E40" s="47"/>
      <c r="F40" s="47"/>
      <c r="G40" s="46"/>
      <c r="H40" s="47"/>
      <c r="I40" s="47">
        <f>2186347.42</f>
        <v>2186347.42</v>
      </c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2"/>
        <v>1.4974982328767122E-2</v>
      </c>
    </row>
    <row r="41" spans="1:21" x14ac:dyDescent="0.2">
      <c r="A41" s="56" t="s">
        <v>16</v>
      </c>
      <c r="B41" s="56" t="s">
        <v>56</v>
      </c>
      <c r="C41" s="56" t="s">
        <v>64</v>
      </c>
      <c r="D41" s="35">
        <f t="shared" si="3"/>
        <v>327216.44</v>
      </c>
      <c r="E41" s="47"/>
      <c r="F41" s="47"/>
      <c r="G41" s="46"/>
      <c r="H41" s="47"/>
      <c r="I41" s="47">
        <f>327216.44</f>
        <v>327216.44</v>
      </c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2"/>
        <v>2.241208493150685E-3</v>
      </c>
    </row>
    <row r="42" spans="1:21" hidden="1" x14ac:dyDescent="0.2">
      <c r="A42" s="56" t="s">
        <v>16</v>
      </c>
      <c r="B42" s="56" t="s">
        <v>93</v>
      </c>
      <c r="C42" s="56" t="s">
        <v>94</v>
      </c>
      <c r="D42" s="35">
        <f t="shared" si="3"/>
        <v>0</v>
      </c>
      <c r="E42" s="47"/>
      <c r="F42" s="47"/>
      <c r="G42" s="46"/>
      <c r="H42" s="47"/>
      <c r="I42" s="47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2"/>
        <v>0</v>
      </c>
    </row>
    <row r="43" spans="1:21" x14ac:dyDescent="0.2">
      <c r="A43" s="2" t="s">
        <v>59</v>
      </c>
      <c r="B43" s="56" t="s">
        <v>57</v>
      </c>
      <c r="C43" s="56" t="s">
        <v>63</v>
      </c>
      <c r="D43" s="35">
        <f t="shared" si="3"/>
        <v>2985911.2</v>
      </c>
      <c r="E43" s="47"/>
      <c r="F43" s="47"/>
      <c r="G43" s="46"/>
      <c r="H43" s="47"/>
      <c r="I43" s="46"/>
      <c r="J43" s="47"/>
      <c r="K43" s="47">
        <f>2985911.2</f>
        <v>2985911.2</v>
      </c>
      <c r="L43" s="46"/>
      <c r="M43" s="46"/>
      <c r="N43" s="46"/>
      <c r="O43" s="46"/>
      <c r="P43" s="46"/>
      <c r="Q43" s="46"/>
      <c r="R43" s="46"/>
      <c r="S43" s="8">
        <f t="shared" si="2"/>
        <v>2.0451446575342466E-2</v>
      </c>
    </row>
    <row r="44" spans="1:21" x14ac:dyDescent="0.2">
      <c r="A44" s="86" t="s">
        <v>20</v>
      </c>
      <c r="B44" s="81" t="s">
        <v>91</v>
      </c>
      <c r="C44" s="81" t="s">
        <v>92</v>
      </c>
      <c r="D44" s="48">
        <f>SUM(E44:Q44)</f>
        <v>721674.99</v>
      </c>
      <c r="E44" s="82"/>
      <c r="F44" s="83"/>
      <c r="G44" s="83"/>
      <c r="H44" s="83"/>
      <c r="I44" s="83"/>
      <c r="J44" s="83"/>
      <c r="K44" s="83"/>
      <c r="L44" s="82"/>
      <c r="M44" s="82"/>
      <c r="N44" s="82">
        <f>721674.99</f>
        <v>721674.99</v>
      </c>
      <c r="O44" s="83"/>
      <c r="P44" s="83"/>
      <c r="Q44" s="83"/>
      <c r="R44" s="83"/>
      <c r="S44" s="49">
        <f t="shared" si="2"/>
        <v>4.9429793835616435E-3</v>
      </c>
      <c r="T44" s="8">
        <f>SUM(S30:S44)</f>
        <v>0.29816440349315071</v>
      </c>
    </row>
    <row r="45" spans="1:21" x14ac:dyDescent="0.2">
      <c r="A45" s="2" t="s">
        <v>12</v>
      </c>
      <c r="B45" s="56" t="s">
        <v>50</v>
      </c>
      <c r="C45" s="2" t="s">
        <v>51</v>
      </c>
      <c r="D45" s="35">
        <f t="shared" si="3"/>
        <v>32646.23</v>
      </c>
      <c r="E45" s="35">
        <f>32646.23</f>
        <v>32646.23</v>
      </c>
      <c r="S45" s="8">
        <f t="shared" si="2"/>
        <v>2.2360431506849316E-4</v>
      </c>
    </row>
    <row r="46" spans="1:21" x14ac:dyDescent="0.2">
      <c r="A46" s="2" t="s">
        <v>12</v>
      </c>
      <c r="B46" s="56" t="s">
        <v>150</v>
      </c>
      <c r="C46" s="2" t="s">
        <v>151</v>
      </c>
      <c r="D46" s="35">
        <f t="shared" si="3"/>
        <v>51833</v>
      </c>
      <c r="E46" s="35">
        <f>51833</f>
        <v>51833</v>
      </c>
      <c r="S46" s="8">
        <f t="shared" si="2"/>
        <v>3.5502054794520548E-4</v>
      </c>
    </row>
    <row r="47" spans="1:21" x14ac:dyDescent="0.2">
      <c r="A47" s="56" t="s">
        <v>13</v>
      </c>
      <c r="B47" s="56" t="s">
        <v>52</v>
      </c>
      <c r="C47" s="56" t="s">
        <v>53</v>
      </c>
      <c r="D47" s="35">
        <f t="shared" si="3"/>
        <v>15783.01</v>
      </c>
      <c r="F47" s="35">
        <f>15783.01</f>
        <v>15783.01</v>
      </c>
      <c r="S47" s="8">
        <f t="shared" si="2"/>
        <v>1.0810280821917808E-4</v>
      </c>
    </row>
    <row r="48" spans="1:21" x14ac:dyDescent="0.2">
      <c r="A48" s="56" t="s">
        <v>15</v>
      </c>
      <c r="B48" s="56" t="s">
        <v>146</v>
      </c>
      <c r="C48" s="56" t="s">
        <v>147</v>
      </c>
      <c r="D48" s="35">
        <f t="shared" si="3"/>
        <v>289002.8</v>
      </c>
      <c r="H48" s="35">
        <f>289002.8</f>
        <v>289002.8</v>
      </c>
      <c r="S48" s="8">
        <f t="shared" si="2"/>
        <v>1.9794712328767123E-3</v>
      </c>
    </row>
    <row r="49" spans="1:20" x14ac:dyDescent="0.2">
      <c r="A49" s="56" t="s">
        <v>16</v>
      </c>
      <c r="B49" s="56" t="s">
        <v>45</v>
      </c>
      <c r="C49" s="56" t="s">
        <v>48</v>
      </c>
      <c r="D49" s="35">
        <f t="shared" si="3"/>
        <v>781832.89</v>
      </c>
      <c r="I49" s="35">
        <f>781832.89</f>
        <v>781832.89</v>
      </c>
      <c r="S49" s="8">
        <f t="shared" si="2"/>
        <v>5.3550197945205482E-3</v>
      </c>
    </row>
    <row r="50" spans="1:20" x14ac:dyDescent="0.2">
      <c r="A50" s="2" t="s">
        <v>16</v>
      </c>
      <c r="B50" s="56" t="s">
        <v>61</v>
      </c>
      <c r="C50" s="56" t="s">
        <v>86</v>
      </c>
      <c r="D50" s="35">
        <f t="shared" si="3"/>
        <v>8000357.7300000004</v>
      </c>
      <c r="I50" s="35">
        <f>8000357.73</f>
        <v>8000357.7300000004</v>
      </c>
      <c r="S50" s="8">
        <f t="shared" si="2"/>
        <v>5.4796970753424663E-2</v>
      </c>
    </row>
    <row r="51" spans="1:20" x14ac:dyDescent="0.2">
      <c r="A51" s="56" t="s">
        <v>16</v>
      </c>
      <c r="B51" s="56" t="s">
        <v>124</v>
      </c>
      <c r="C51" s="56" t="s">
        <v>67</v>
      </c>
      <c r="D51" s="35">
        <f t="shared" si="3"/>
        <v>7257223.1399999997</v>
      </c>
      <c r="I51" s="35">
        <f>7257223.14</f>
        <v>7257223.1399999997</v>
      </c>
      <c r="S51" s="8">
        <f t="shared" si="2"/>
        <v>4.9707007808219177E-2</v>
      </c>
    </row>
    <row r="52" spans="1:20" x14ac:dyDescent="0.2">
      <c r="A52" s="56" t="s">
        <v>20</v>
      </c>
      <c r="B52" s="56" t="s">
        <v>152</v>
      </c>
      <c r="C52" s="56" t="s">
        <v>54</v>
      </c>
      <c r="D52" s="35">
        <f t="shared" si="3"/>
        <v>632090.81999999995</v>
      </c>
      <c r="N52" s="35">
        <f>599973.82+32117</f>
        <v>632090.81999999995</v>
      </c>
      <c r="S52" s="8">
        <f t="shared" si="2"/>
        <v>4.3293891780821917E-3</v>
      </c>
    </row>
    <row r="53" spans="1:20" x14ac:dyDescent="0.2">
      <c r="A53" s="2" t="s">
        <v>22</v>
      </c>
      <c r="B53" s="56" t="s">
        <v>149</v>
      </c>
      <c r="C53" t="s">
        <v>68</v>
      </c>
      <c r="D53" s="35">
        <f t="shared" si="3"/>
        <v>16420386.5</v>
      </c>
      <c r="P53" s="109">
        <f>1098+15688863.45+730425.05</f>
        <v>16420386.5</v>
      </c>
      <c r="S53" s="8">
        <f t="shared" si="2"/>
        <v>0.11246840068493151</v>
      </c>
    </row>
    <row r="54" spans="1:20" x14ac:dyDescent="0.2">
      <c r="A54" s="2" t="s">
        <v>22</v>
      </c>
      <c r="B54" s="56" t="s">
        <v>148</v>
      </c>
      <c r="C54" t="s">
        <v>49</v>
      </c>
      <c r="D54" s="35">
        <f>SUM(E54:R54)</f>
        <v>44552798.170000002</v>
      </c>
      <c r="P54" s="35">
        <f>57781.37+22956002.35+12614734.63+8311387.07+122875.24+490017.51</f>
        <v>44552798.170000002</v>
      </c>
      <c r="S54" s="8">
        <f t="shared" si="2"/>
        <v>0.3051561518493151</v>
      </c>
    </row>
    <row r="55" spans="1:20" x14ac:dyDescent="0.2">
      <c r="A55" s="56" t="s">
        <v>22</v>
      </c>
      <c r="B55" s="56" t="s">
        <v>142</v>
      </c>
      <c r="C55" s="56" t="s">
        <v>143</v>
      </c>
      <c r="D55" s="35">
        <f>SUM(E55:R55)</f>
        <v>10150.83</v>
      </c>
      <c r="P55" s="35">
        <f>10150.83</f>
        <v>10150.83</v>
      </c>
      <c r="S55" s="8">
        <f t="shared" si="2"/>
        <v>6.9526232876712324E-5</v>
      </c>
    </row>
    <row r="56" spans="1:20" ht="13.5" thickBot="1" x14ac:dyDescent="0.25">
      <c r="A56" s="75" t="s">
        <v>59</v>
      </c>
      <c r="B56" s="75"/>
      <c r="C56" s="80" t="s">
        <v>128</v>
      </c>
      <c r="D56" s="76">
        <f>SUM(E56:R56)</f>
        <v>24423891.969999999</v>
      </c>
      <c r="E56" s="77"/>
      <c r="F56" s="78"/>
      <c r="G56" s="78"/>
      <c r="H56" s="78"/>
      <c r="I56" s="78"/>
      <c r="J56" s="78"/>
      <c r="K56" s="78"/>
      <c r="L56" s="77"/>
      <c r="M56" s="77"/>
      <c r="N56" s="77"/>
      <c r="O56" s="78"/>
      <c r="P56" s="77"/>
      <c r="Q56" s="77"/>
      <c r="R56" s="77">
        <v>24423891.969999999</v>
      </c>
      <c r="S56" s="79">
        <f>D56/D9</f>
        <v>0.16728693130136985</v>
      </c>
      <c r="T56" s="8"/>
    </row>
    <row r="57" spans="1:20" ht="13.5" thickTop="1" x14ac:dyDescent="0.2">
      <c r="A57" s="2" t="s">
        <v>12</v>
      </c>
      <c r="B57" s="56" t="s">
        <v>125</v>
      </c>
      <c r="C57" s="2" t="s">
        <v>46</v>
      </c>
      <c r="D57" s="35">
        <f>SUM(E57:Q57)</f>
        <v>13265004.609999999</v>
      </c>
      <c r="E57" s="47">
        <f>9312023.08+3952981.53</f>
        <v>13265004.609999999</v>
      </c>
      <c r="F57" s="46"/>
      <c r="G57" s="46"/>
      <c r="H57" s="46"/>
      <c r="I57" s="46"/>
      <c r="J57" s="46"/>
      <c r="K57" s="46"/>
      <c r="L57" s="47"/>
      <c r="M57" s="47"/>
      <c r="N57" s="47"/>
      <c r="O57" s="46"/>
      <c r="P57" s="47"/>
      <c r="Q57" s="47"/>
      <c r="R57" s="47"/>
      <c r="S57" s="8">
        <f>D57/$D$11</f>
        <v>0.165812557625</v>
      </c>
      <c r="T57" s="8"/>
    </row>
    <row r="58" spans="1:20" x14ac:dyDescent="0.2">
      <c r="A58" s="2" t="s">
        <v>12</v>
      </c>
      <c r="B58" s="56" t="s">
        <v>126</v>
      </c>
      <c r="C58" s="2" t="s">
        <v>47</v>
      </c>
      <c r="D58" s="35">
        <f>SUM(E58:Q58)</f>
        <v>66734995.390000001</v>
      </c>
      <c r="E58" s="35">
        <f>20828474.09+43000000+2906521.3</f>
        <v>66734995.390000001</v>
      </c>
      <c r="S58" s="8">
        <f>D58/$D11</f>
        <v>0.83418744237499998</v>
      </c>
    </row>
    <row r="59" spans="1:20" x14ac:dyDescent="0.2"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9"/>
    </row>
    <row r="60" spans="1:20" s="8" customFormat="1" ht="13.5" thickBot="1" x14ac:dyDescent="0.25">
      <c r="B60" s="50"/>
      <c r="C60" s="51" t="s">
        <v>26</v>
      </c>
      <c r="D60" s="52"/>
      <c r="E60" s="53">
        <f>E5/D5</f>
        <v>0.49791564417355366</v>
      </c>
      <c r="F60" s="53">
        <f>F5/D5</f>
        <v>1.7633763016528928E-2</v>
      </c>
      <c r="G60" s="53">
        <f>G5/D5</f>
        <v>0</v>
      </c>
      <c r="H60" s="53">
        <f>H5/D5</f>
        <v>1.172334132231405E-2</v>
      </c>
      <c r="I60" s="53">
        <f>I5/D5</f>
        <v>7.713734061983471E-2</v>
      </c>
      <c r="J60" s="53">
        <f>J5/D5</f>
        <v>0</v>
      </c>
      <c r="K60" s="53">
        <f>K5/D5</f>
        <v>1.3702799256198347E-2</v>
      </c>
      <c r="L60" s="53">
        <f>L5/D5</f>
        <v>1.84928652892562E-3</v>
      </c>
      <c r="M60" s="53">
        <f>M5/D5</f>
        <v>3.1280506198347107E-3</v>
      </c>
      <c r="N60" s="53">
        <f>N5/D5</f>
        <v>6.8434926859504133E-3</v>
      </c>
      <c r="O60" s="53">
        <f>O5/D5</f>
        <v>4.9241038842975215E-3</v>
      </c>
      <c r="P60" s="53">
        <f>P5/D5</f>
        <v>0.26301000677685948</v>
      </c>
      <c r="Q60" s="53">
        <f>Q5/D5</f>
        <v>1.206997685950413E-3</v>
      </c>
      <c r="R60" s="53"/>
      <c r="S60" s="53"/>
    </row>
    <row r="61" spans="1:20" s="8" customFormat="1" ht="13.5" thickTop="1" x14ac:dyDescent="0.2">
      <c r="A61" s="54"/>
      <c r="C61" s="51"/>
    </row>
  </sheetData>
  <pageMargins left="0.25" right="0" top="0.75" bottom="0.75" header="0.3" footer="0.3"/>
  <pageSetup paperSize="5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44BE8-368B-4C95-91C1-666F16784DD8}">
  <sheetPr>
    <tabColor theme="9" tint="0.79998168889431442"/>
  </sheetPr>
  <dimension ref="A1:T71"/>
  <sheetViews>
    <sheetView topLeftCell="C1" workbookViewId="0">
      <selection activeCell="P28" sqref="P28"/>
    </sheetView>
  </sheetViews>
  <sheetFormatPr defaultRowHeight="12.75" x14ac:dyDescent="0.2"/>
  <cols>
    <col min="2" max="2" width="15.7109375" customWidth="1"/>
    <col min="3" max="3" width="36.5703125" customWidth="1"/>
    <col min="4" max="4" width="15.42578125" style="35" customWidth="1"/>
    <col min="5" max="5" width="15.5703125" style="35" customWidth="1"/>
    <col min="6" max="6" width="12.7109375" style="35" customWidth="1"/>
    <col min="7" max="7" width="10.85546875" style="35" hidden="1" customWidth="1"/>
    <col min="8" max="8" width="13" style="35" customWidth="1"/>
    <col min="9" max="9" width="14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3.28515625" style="35" customWidth="1"/>
    <col min="15" max="15" width="12.7109375" style="35" customWidth="1"/>
    <col min="16" max="16" width="14.42578125" style="35" customWidth="1"/>
    <col min="17" max="17" width="12.7109375" style="35" customWidth="1"/>
    <col min="18" max="18" width="14.28515625" style="35" customWidth="1"/>
    <col min="19" max="19" width="12.7109375" style="8" customWidth="1"/>
    <col min="20" max="20" width="17.42578125" bestFit="1" customWidth="1"/>
  </cols>
  <sheetData>
    <row r="1" spans="1:19" x14ac:dyDescent="0.2">
      <c r="A1" s="63" t="s">
        <v>98</v>
      </c>
    </row>
    <row r="3" spans="1:19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19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19" s="42" customFormat="1" ht="13.5" thickBot="1" x14ac:dyDescent="0.25">
      <c r="C5" s="42" t="s">
        <v>25</v>
      </c>
      <c r="D5" s="43">
        <f>D7+D9+D11</f>
        <v>242000000</v>
      </c>
      <c r="E5" s="43">
        <f t="shared" ref="E5:R5" si="0">E7+E9+E11</f>
        <v>120495585.88999999</v>
      </c>
      <c r="F5" s="43">
        <f t="shared" si="0"/>
        <v>4267370.6500000004</v>
      </c>
      <c r="G5" s="43">
        <f t="shared" si="0"/>
        <v>0</v>
      </c>
      <c r="H5" s="43">
        <f t="shared" si="0"/>
        <v>2837048.6</v>
      </c>
      <c r="I5" s="43">
        <f t="shared" si="0"/>
        <v>18667236.43</v>
      </c>
      <c r="J5" s="43">
        <f t="shared" si="0"/>
        <v>0</v>
      </c>
      <c r="K5" s="43">
        <f t="shared" si="0"/>
        <v>3316077.42</v>
      </c>
      <c r="L5" s="43">
        <f t="shared" si="0"/>
        <v>447527.34</v>
      </c>
      <c r="M5" s="43">
        <f t="shared" si="0"/>
        <v>756988.25</v>
      </c>
      <c r="N5" s="43">
        <f t="shared" si="0"/>
        <v>1656125.23</v>
      </c>
      <c r="O5" s="43">
        <f t="shared" si="0"/>
        <v>1191633.1400000001</v>
      </c>
      <c r="P5" s="43">
        <f t="shared" si="0"/>
        <v>63648421.640000001</v>
      </c>
      <c r="Q5" s="43">
        <f t="shared" si="0"/>
        <v>292093.43999999994</v>
      </c>
      <c r="R5" s="43">
        <f t="shared" si="0"/>
        <v>24423891.970000021</v>
      </c>
      <c r="S5" s="44"/>
    </row>
    <row r="6" spans="1:19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19" s="42" customFormat="1" ht="13.5" thickBot="1" x14ac:dyDescent="0.25">
      <c r="C7" s="74" t="s">
        <v>81</v>
      </c>
      <c r="D7" s="43">
        <f>SUM(E7:R7)</f>
        <v>16000000</v>
      </c>
      <c r="E7" s="43">
        <f>E13+E14</f>
        <v>4103709.37</v>
      </c>
      <c r="F7" s="43">
        <f>F15</f>
        <v>1238587.4600000004</v>
      </c>
      <c r="G7" s="43"/>
      <c r="H7" s="43">
        <f>H16+H17</f>
        <v>1544590.23</v>
      </c>
      <c r="I7" s="43">
        <f>I18</f>
        <v>114258.81</v>
      </c>
      <c r="J7" s="43">
        <f>J19</f>
        <v>0</v>
      </c>
      <c r="K7" s="43">
        <f>K20</f>
        <v>330166.21999999997</v>
      </c>
      <c r="L7" s="43">
        <f>L21</f>
        <v>447527.34</v>
      </c>
      <c r="M7" s="43">
        <f>M23+M24</f>
        <v>756988.25</v>
      </c>
      <c r="N7" s="43">
        <f>N25</f>
        <v>302359.42</v>
      </c>
      <c r="O7" s="43">
        <f>O26</f>
        <v>1191633.1400000001</v>
      </c>
      <c r="P7" s="43">
        <f>P28</f>
        <v>2665086.1400000006</v>
      </c>
      <c r="Q7" s="43">
        <f>Q29</f>
        <v>292093.43999999994</v>
      </c>
      <c r="R7" s="43">
        <f>R30</f>
        <v>3013000.1799999997</v>
      </c>
      <c r="S7" s="44">
        <f>SUM(S13:S30)</f>
        <v>1.0000000000000002</v>
      </c>
    </row>
    <row r="8" spans="1:19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19" s="42" customFormat="1" ht="13.5" thickBot="1" x14ac:dyDescent="0.25">
      <c r="C9" s="74" t="s">
        <v>82</v>
      </c>
      <c r="D9" s="43">
        <f>SUM(E9:R9)</f>
        <v>146000000</v>
      </c>
      <c r="E9" s="43">
        <f>E33+E34+E35+E37+E49+E38+E50</f>
        <v>36391876.519999988</v>
      </c>
      <c r="F9" s="43">
        <f>F51+F31</f>
        <v>3028783.19</v>
      </c>
      <c r="G9" s="43"/>
      <c r="H9" s="43">
        <f>H43+H42+H52</f>
        <v>1292458.3700000001</v>
      </c>
      <c r="I9" s="43">
        <f>I44+I45+I53+I54+I55+I46</f>
        <v>18552977.620000001</v>
      </c>
      <c r="J9" s="43">
        <v>0</v>
      </c>
      <c r="K9" s="43">
        <f>K47</f>
        <v>2985911.2</v>
      </c>
      <c r="L9" s="43">
        <v>0</v>
      </c>
      <c r="M9" s="43">
        <v>0</v>
      </c>
      <c r="N9" s="43">
        <f>N48+N56</f>
        <v>1353765.81</v>
      </c>
      <c r="O9" s="43"/>
      <c r="P9" s="43">
        <f>P57+P58+P59</f>
        <v>60983335.5</v>
      </c>
      <c r="Q9" s="43">
        <v>0</v>
      </c>
      <c r="R9" s="43">
        <f>R60</f>
        <v>21410891.790000021</v>
      </c>
      <c r="S9" s="44">
        <f>SUM(S31:S60)</f>
        <v>1.0000000000000002</v>
      </c>
    </row>
    <row r="10" spans="1:19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19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E61+E62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S61+S62</f>
        <v>1</v>
      </c>
    </row>
    <row r="12" spans="1:19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19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f>4021524.18</f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19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f>82185.19</f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5.1365743750000003E-3</v>
      </c>
    </row>
    <row r="15" spans="1:19" x14ac:dyDescent="0.2">
      <c r="A15" s="116" t="s">
        <v>13</v>
      </c>
      <c r="B15" s="117" t="s">
        <v>122</v>
      </c>
      <c r="C15" s="117" t="s">
        <v>35</v>
      </c>
      <c r="D15" s="126">
        <f t="shared" si="1"/>
        <v>1238587.4600000004</v>
      </c>
      <c r="E15" s="118"/>
      <c r="F15" s="118">
        <f>3013000.18+62512.36+429133.23+47446+646142.72+39277.38+10483.21+87.36+2590.32+679.68+235.2-3013000.18</f>
        <v>1238587.4600000004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19">
        <f>D15/D7</f>
        <v>7.7411716250000026E-2</v>
      </c>
    </row>
    <row r="16" spans="1:19" x14ac:dyDescent="0.2">
      <c r="A16" s="2" t="s">
        <v>15</v>
      </c>
      <c r="B16" s="56" t="s">
        <v>145</v>
      </c>
      <c r="C16" s="56" t="s">
        <v>35</v>
      </c>
      <c r="D16" s="35">
        <f t="shared" si="1"/>
        <v>387867.72000000003</v>
      </c>
      <c r="E16" s="47"/>
      <c r="F16" s="47"/>
      <c r="G16" s="46"/>
      <c r="H16" s="47">
        <f>89800+293494.89+4572.83</f>
        <v>387867.72000000003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2.4241732500000002E-2</v>
      </c>
    </row>
    <row r="17" spans="1:20" x14ac:dyDescent="0.2">
      <c r="A17" s="56" t="s">
        <v>15</v>
      </c>
      <c r="B17" s="56" t="s">
        <v>117</v>
      </c>
      <c r="C17" s="56" t="s">
        <v>39</v>
      </c>
      <c r="D17" s="35">
        <f t="shared" si="1"/>
        <v>1156722.51</v>
      </c>
      <c r="E17" s="47"/>
      <c r="F17" s="47"/>
      <c r="G17" s="46"/>
      <c r="H17" s="47">
        <f>1098316.5+58406.01</f>
        <v>1156722.51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7.2295156875000002E-2</v>
      </c>
    </row>
    <row r="18" spans="1:20" x14ac:dyDescent="0.2">
      <c r="A18" s="2" t="s">
        <v>16</v>
      </c>
      <c r="B18" s="56" t="s">
        <v>140</v>
      </c>
      <c r="C18" s="56" t="s">
        <v>35</v>
      </c>
      <c r="D18" s="35">
        <f t="shared" si="1"/>
        <v>114258.81</v>
      </c>
      <c r="E18" s="47"/>
      <c r="F18" s="47"/>
      <c r="G18" s="46"/>
      <c r="H18" s="47"/>
      <c r="I18" s="47">
        <f>75864.25+38394.56</f>
        <v>114258.81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7.1411756250000001E-3</v>
      </c>
    </row>
    <row r="19" spans="1:20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20" x14ac:dyDescent="0.2">
      <c r="A20" s="2" t="s">
        <v>59</v>
      </c>
      <c r="B20" s="56" t="s">
        <v>136</v>
      </c>
      <c r="C20" s="56" t="s">
        <v>39</v>
      </c>
      <c r="D20" s="35">
        <f t="shared" si="1"/>
        <v>330166.21999999997</v>
      </c>
      <c r="E20" s="47"/>
      <c r="F20" s="47"/>
      <c r="G20" s="46"/>
      <c r="H20" s="47"/>
      <c r="I20" s="46"/>
      <c r="J20" s="47"/>
      <c r="K20" s="47">
        <f>145740.07+184426.15</f>
        <v>330166.21999999997</v>
      </c>
      <c r="L20" s="46"/>
      <c r="M20" s="46"/>
      <c r="N20" s="46"/>
      <c r="O20" s="46"/>
      <c r="P20" s="46"/>
      <c r="Q20" s="46"/>
      <c r="R20" s="46"/>
      <c r="S20" s="8">
        <f>D20/D7</f>
        <v>2.0635388749999997E-2</v>
      </c>
    </row>
    <row r="21" spans="1:20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447527.34</v>
      </c>
      <c r="E21" s="47"/>
      <c r="F21" s="47"/>
      <c r="G21" s="46"/>
      <c r="H21" s="47"/>
      <c r="I21" s="46"/>
      <c r="J21" s="47"/>
      <c r="K21" s="47"/>
      <c r="L21" s="47">
        <f>447527.34</f>
        <v>447527.34</v>
      </c>
      <c r="M21" s="46"/>
      <c r="N21" s="46"/>
      <c r="O21" s="46"/>
      <c r="P21" s="46"/>
      <c r="Q21" s="46"/>
      <c r="R21" s="46"/>
      <c r="S21" s="8">
        <f>D21/D7</f>
        <v>2.7970458750000003E-2</v>
      </c>
    </row>
    <row r="22" spans="1:20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20" x14ac:dyDescent="0.2">
      <c r="A23" s="2" t="s">
        <v>19</v>
      </c>
      <c r="B23" s="56" t="s">
        <v>116</v>
      </c>
      <c r="C23" s="56" t="s">
        <v>35</v>
      </c>
      <c r="D23" s="35">
        <f t="shared" si="1"/>
        <v>756988.25</v>
      </c>
      <c r="E23" s="47"/>
      <c r="F23" s="46"/>
      <c r="G23" s="46"/>
      <c r="H23" s="46"/>
      <c r="I23" s="46"/>
      <c r="J23" s="46"/>
      <c r="K23" s="46"/>
      <c r="L23" s="47"/>
      <c r="M23" s="47">
        <f>198994.71+309000+248993.54</f>
        <v>756988.25</v>
      </c>
      <c r="N23" s="46"/>
      <c r="O23" s="46"/>
      <c r="P23" s="46"/>
      <c r="Q23" s="46"/>
      <c r="R23" s="46"/>
      <c r="S23" s="8">
        <f>D23/D7</f>
        <v>4.7311765625000002E-2</v>
      </c>
    </row>
    <row r="24" spans="1:20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20" x14ac:dyDescent="0.2">
      <c r="A25" s="2" t="s">
        <v>20</v>
      </c>
      <c r="B25" s="56" t="s">
        <v>141</v>
      </c>
      <c r="C25" s="56" t="s">
        <v>35</v>
      </c>
      <c r="D25" s="35">
        <f t="shared" si="1"/>
        <v>302359.42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94557.56+179395.12+23047.08+5359.66</f>
        <v>302359.42</v>
      </c>
      <c r="O25" s="46"/>
      <c r="P25" s="46"/>
      <c r="Q25" s="46"/>
      <c r="R25" s="46"/>
      <c r="S25" s="8">
        <f>D25/D7</f>
        <v>1.8897463749999999E-2</v>
      </c>
    </row>
    <row r="26" spans="1:20" x14ac:dyDescent="0.2">
      <c r="A26" s="2" t="s">
        <v>21</v>
      </c>
      <c r="B26" s="56" t="s">
        <v>139</v>
      </c>
      <c r="C26" s="56" t="s">
        <v>35</v>
      </c>
      <c r="D26" s="35">
        <f t="shared" si="1"/>
        <v>1191633.1400000001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137991.19+238902.37+486586.83+328152.75</f>
        <v>1191633.1400000001</v>
      </c>
      <c r="P26" s="46"/>
      <c r="Q26" s="46"/>
      <c r="R26" s="46"/>
      <c r="S26" s="8">
        <f>D26/D7</f>
        <v>7.4477071250000013E-2</v>
      </c>
    </row>
    <row r="27" spans="1:20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20" x14ac:dyDescent="0.2">
      <c r="A28" s="2" t="s">
        <v>22</v>
      </c>
      <c r="B28" s="56" t="s">
        <v>123</v>
      </c>
      <c r="C28" s="56" t="s">
        <v>35</v>
      </c>
      <c r="D28" s="35">
        <f t="shared" si="1"/>
        <v>2665086.1400000006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404671.71+1054256.82+578114.15+513210.16+104524.91+10018.39+290</f>
        <v>2665086.1400000006</v>
      </c>
      <c r="Q28" s="46"/>
      <c r="R28" s="46"/>
      <c r="S28" s="8">
        <f>D28/D7</f>
        <v>0.16656788375000003</v>
      </c>
    </row>
    <row r="29" spans="1:20" x14ac:dyDescent="0.2">
      <c r="A29" s="2" t="s">
        <v>23</v>
      </c>
      <c r="B29" s="56" t="s">
        <v>121</v>
      </c>
      <c r="C29" s="56" t="s">
        <v>35</v>
      </c>
      <c r="D29" s="35">
        <f>SUM(E29:R29)</f>
        <v>292093.43999999994</v>
      </c>
      <c r="E29" s="47"/>
      <c r="F29" s="46"/>
      <c r="G29" s="46"/>
      <c r="H29" s="46"/>
      <c r="I29" s="46"/>
      <c r="J29" s="46"/>
      <c r="K29" s="46"/>
      <c r="L29" s="47"/>
      <c r="M29" s="47"/>
      <c r="N29" s="47"/>
      <c r="O29" s="46"/>
      <c r="P29" s="47"/>
      <c r="Q29" s="47">
        <f>164124.54+23808.8+81771.25+22388.85</f>
        <v>292093.43999999994</v>
      </c>
      <c r="R29" s="47"/>
      <c r="S29" s="8">
        <f>D29/D7</f>
        <v>1.8255839999999995E-2</v>
      </c>
      <c r="T29" s="8"/>
    </row>
    <row r="30" spans="1:20" ht="13.5" thickBot="1" x14ac:dyDescent="0.25">
      <c r="A30" s="75" t="s">
        <v>59</v>
      </c>
      <c r="B30" s="75"/>
      <c r="C30" s="80" t="s">
        <v>128</v>
      </c>
      <c r="D30" s="105">
        <f>SUM(E30:R30)</f>
        <v>3013000.1799999997</v>
      </c>
      <c r="E30" s="106"/>
      <c r="F30" s="107"/>
      <c r="G30" s="107"/>
      <c r="H30" s="107"/>
      <c r="I30" s="107"/>
      <c r="J30" s="107"/>
      <c r="K30" s="107"/>
      <c r="L30" s="106"/>
      <c r="M30" s="106"/>
      <c r="N30" s="106"/>
      <c r="O30" s="107"/>
      <c r="P30" s="106"/>
      <c r="Q30" s="106"/>
      <c r="R30" s="106">
        <f>16000000-SUM(D13:D29)</f>
        <v>3013000.1799999997</v>
      </c>
      <c r="S30" s="128">
        <f>D30/D7</f>
        <v>0.18831251124999998</v>
      </c>
      <c r="T30" s="8"/>
    </row>
    <row r="31" spans="1:20" ht="13.5" thickTop="1" x14ac:dyDescent="0.2">
      <c r="A31" s="116" t="s">
        <v>13</v>
      </c>
      <c r="B31" s="117" t="s">
        <v>154</v>
      </c>
      <c r="C31" s="117" t="s">
        <v>159</v>
      </c>
      <c r="D31" s="126">
        <f t="shared" ref="D31" si="2">SUM(E31:R31)</f>
        <v>3013000.18</v>
      </c>
      <c r="E31" s="118"/>
      <c r="F31" s="127">
        <v>3013000.18</v>
      </c>
      <c r="G31" s="46"/>
      <c r="H31" s="46"/>
      <c r="I31" s="46"/>
      <c r="J31" s="46"/>
      <c r="K31" s="46"/>
      <c r="L31" s="47"/>
      <c r="M31" s="47"/>
      <c r="N31" s="47"/>
      <c r="O31" s="46"/>
      <c r="P31" s="47"/>
      <c r="Q31" s="47"/>
      <c r="R31" s="47"/>
      <c r="S31" s="119">
        <f>D31/$D$9</f>
        <v>2.0636987534246577E-2</v>
      </c>
      <c r="T31" s="8"/>
    </row>
    <row r="32" spans="1:20" x14ac:dyDescent="0.2">
      <c r="A32" s="2"/>
      <c r="B32" s="56"/>
      <c r="C32" s="56"/>
      <c r="E32" s="47"/>
      <c r="F32" s="46"/>
      <c r="G32" s="46"/>
      <c r="H32" s="46"/>
      <c r="I32" s="46"/>
      <c r="J32" s="46"/>
      <c r="K32" s="46"/>
      <c r="L32" s="47"/>
      <c r="M32" s="47"/>
      <c r="N32" s="47"/>
      <c r="O32" s="46"/>
      <c r="P32" s="47"/>
      <c r="Q32" s="47"/>
      <c r="R32" s="47"/>
      <c r="T32" s="8"/>
    </row>
    <row r="33" spans="1:20" x14ac:dyDescent="0.2">
      <c r="A33" s="110" t="s">
        <v>12</v>
      </c>
      <c r="B33" s="110" t="s">
        <v>112</v>
      </c>
      <c r="C33" s="110" t="s">
        <v>160</v>
      </c>
      <c r="D33" s="111">
        <f>SUM(E33:Q33)</f>
        <v>7760000</v>
      </c>
      <c r="E33" s="112">
        <v>7760000</v>
      </c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8">
        <f>D33/$D$9</f>
        <v>5.3150684931506847E-2</v>
      </c>
    </row>
    <row r="34" spans="1:20" x14ac:dyDescent="0.2">
      <c r="A34" s="110" t="s">
        <v>12</v>
      </c>
      <c r="B34" s="110" t="s">
        <v>112</v>
      </c>
      <c r="C34" s="110" t="s">
        <v>161</v>
      </c>
      <c r="D34" s="111">
        <f>SUM(E34:Q34)</f>
        <v>23550000</v>
      </c>
      <c r="E34" s="112">
        <f>23550000</f>
        <v>23550000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>D34/$D$9</f>
        <v>0.16130136986301369</v>
      </c>
    </row>
    <row r="35" spans="1:20" x14ac:dyDescent="0.2">
      <c r="A35" s="110" t="s">
        <v>12</v>
      </c>
      <c r="B35" s="110" t="s">
        <v>112</v>
      </c>
      <c r="C35" s="110" t="s">
        <v>162</v>
      </c>
      <c r="D35" s="111">
        <f>SUM(E35:Q35)</f>
        <v>2959404.98</v>
      </c>
      <c r="E35" s="112">
        <f>2959404.98</f>
        <v>2959404.98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>D35/$D$9</f>
        <v>2.026989712328767E-2</v>
      </c>
    </row>
    <row r="36" spans="1:20" x14ac:dyDescent="0.2">
      <c r="A36" s="56"/>
      <c r="B36" s="56"/>
      <c r="C36" s="56"/>
      <c r="E36" s="47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</row>
    <row r="37" spans="1:20" x14ac:dyDescent="0.2">
      <c r="A37" s="56" t="s">
        <v>12</v>
      </c>
      <c r="B37" s="56" t="s">
        <v>120</v>
      </c>
      <c r="C37" s="56" t="s">
        <v>37</v>
      </c>
      <c r="D37" s="35">
        <f>SUM(E37:Q37)</f>
        <v>1450212.9000000001</v>
      </c>
      <c r="E37" s="47">
        <f>1127882.58+322330.32</f>
        <v>1450212.9000000001</v>
      </c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 t="shared" ref="S37:S59" si="3">D37/$D$9</f>
        <v>9.9329650684931523E-3</v>
      </c>
    </row>
    <row r="38" spans="1:20" x14ac:dyDescent="0.2">
      <c r="A38" s="56" t="s">
        <v>12</v>
      </c>
      <c r="B38" s="56" t="s">
        <v>137</v>
      </c>
      <c r="C38" s="56" t="s">
        <v>138</v>
      </c>
      <c r="D38" s="35">
        <f t="shared" ref="D38:D57" si="4">SUM(E38:Q38)</f>
        <v>587779.41</v>
      </c>
      <c r="E38" s="47">
        <f>587779.41</f>
        <v>587779.41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si="3"/>
        <v>4.0258863698630137E-3</v>
      </c>
    </row>
    <row r="39" spans="1:20" hidden="1" x14ac:dyDescent="0.2">
      <c r="A39" s="56" t="s">
        <v>12</v>
      </c>
      <c r="B39" s="56"/>
      <c r="C39" s="56"/>
      <c r="D39" s="35">
        <f t="shared" si="4"/>
        <v>0</v>
      </c>
      <c r="E39" s="47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3"/>
        <v>0</v>
      </c>
    </row>
    <row r="40" spans="1:20" hidden="1" x14ac:dyDescent="0.2">
      <c r="A40" s="2" t="s">
        <v>13</v>
      </c>
      <c r="B40" s="56" t="s">
        <v>43</v>
      </c>
      <c r="C40" s="2" t="s">
        <v>39</v>
      </c>
      <c r="D40" s="35">
        <f t="shared" si="4"/>
        <v>0</v>
      </c>
      <c r="E40" s="47"/>
      <c r="F40" s="47"/>
      <c r="G40" s="47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3"/>
        <v>0</v>
      </c>
    </row>
    <row r="41" spans="1:20" hidden="1" x14ac:dyDescent="0.2">
      <c r="A41" s="2" t="s">
        <v>14</v>
      </c>
      <c r="B41" s="56" t="s">
        <v>44</v>
      </c>
      <c r="C41" s="2" t="s">
        <v>39</v>
      </c>
      <c r="D41" s="35">
        <f t="shared" si="4"/>
        <v>0</v>
      </c>
      <c r="E41" s="47"/>
      <c r="F41" s="47"/>
      <c r="G41" s="47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3"/>
        <v>0</v>
      </c>
    </row>
    <row r="42" spans="1:20" x14ac:dyDescent="0.2">
      <c r="A42" s="2" t="s">
        <v>15</v>
      </c>
      <c r="B42" s="56" t="s">
        <v>57</v>
      </c>
      <c r="C42" s="56" t="s">
        <v>62</v>
      </c>
      <c r="D42" s="35">
        <f t="shared" si="4"/>
        <v>572554.53</v>
      </c>
      <c r="E42" s="47"/>
      <c r="F42" s="47"/>
      <c r="G42" s="46"/>
      <c r="H42" s="47">
        <f>572554.53</f>
        <v>572554.53</v>
      </c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3"/>
        <v>3.9216063698630137E-3</v>
      </c>
    </row>
    <row r="43" spans="1:20" x14ac:dyDescent="0.2">
      <c r="A43" s="56" t="s">
        <v>15</v>
      </c>
      <c r="B43" s="56" t="s">
        <v>114</v>
      </c>
      <c r="C43" s="56" t="s">
        <v>58</v>
      </c>
      <c r="D43" s="35">
        <f>SUM(E43:Q43)</f>
        <v>430901.04</v>
      </c>
      <c r="E43" s="47"/>
      <c r="F43" s="47"/>
      <c r="G43" s="46"/>
      <c r="H43" s="47">
        <f>95764.73+335136.31</f>
        <v>430901.04</v>
      </c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8">
        <f t="shared" si="3"/>
        <v>2.9513769863013699E-3</v>
      </c>
    </row>
    <row r="44" spans="1:20" x14ac:dyDescent="0.2">
      <c r="A44" s="56" t="s">
        <v>83</v>
      </c>
      <c r="B44" s="56" t="s">
        <v>60</v>
      </c>
      <c r="C44" s="56" t="s">
        <v>84</v>
      </c>
      <c r="D44" s="35">
        <f t="shared" si="4"/>
        <v>2186347.42</v>
      </c>
      <c r="E44" s="47"/>
      <c r="F44" s="47"/>
      <c r="G44" s="46"/>
      <c r="H44" s="47"/>
      <c r="I44" s="47">
        <f>2186347.42</f>
        <v>2186347.42</v>
      </c>
      <c r="J44" s="46"/>
      <c r="K44" s="46"/>
      <c r="L44" s="46"/>
      <c r="M44" s="46"/>
      <c r="N44" s="46"/>
      <c r="O44" s="46"/>
      <c r="P44" s="46"/>
      <c r="Q44" s="46"/>
      <c r="R44" s="46"/>
      <c r="S44" s="8">
        <f t="shared" si="3"/>
        <v>1.4974982328767122E-2</v>
      </c>
    </row>
    <row r="45" spans="1:20" x14ac:dyDescent="0.2">
      <c r="A45" s="56" t="s">
        <v>16</v>
      </c>
      <c r="B45" s="56" t="s">
        <v>56</v>
      </c>
      <c r="C45" s="56" t="s">
        <v>64</v>
      </c>
      <c r="D45" s="35">
        <f t="shared" si="4"/>
        <v>327216.44</v>
      </c>
      <c r="E45" s="47"/>
      <c r="F45" s="47"/>
      <c r="G45" s="46"/>
      <c r="H45" s="47"/>
      <c r="I45" s="47">
        <f>327216.44</f>
        <v>327216.44</v>
      </c>
      <c r="J45" s="46"/>
      <c r="K45" s="46"/>
      <c r="L45" s="46"/>
      <c r="M45" s="46"/>
      <c r="N45" s="46"/>
      <c r="O45" s="46"/>
      <c r="P45" s="46"/>
      <c r="Q45" s="46"/>
      <c r="R45" s="46"/>
      <c r="S45" s="8">
        <f t="shared" si="3"/>
        <v>2.241208493150685E-3</v>
      </c>
    </row>
    <row r="46" spans="1:20" hidden="1" x14ac:dyDescent="0.2">
      <c r="A46" s="56" t="s">
        <v>16</v>
      </c>
      <c r="B46" s="56" t="s">
        <v>93</v>
      </c>
      <c r="C46" s="56" t="s">
        <v>94</v>
      </c>
      <c r="D46" s="35">
        <f t="shared" si="4"/>
        <v>0</v>
      </c>
      <c r="E46" s="47"/>
      <c r="F46" s="47"/>
      <c r="G46" s="46"/>
      <c r="H46" s="47"/>
      <c r="I46" s="47"/>
      <c r="J46" s="46"/>
      <c r="K46" s="46"/>
      <c r="L46" s="46"/>
      <c r="M46" s="46"/>
      <c r="N46" s="46"/>
      <c r="O46" s="46"/>
      <c r="P46" s="46"/>
      <c r="Q46" s="46"/>
      <c r="R46" s="46"/>
      <c r="S46" s="8">
        <f t="shared" si="3"/>
        <v>0</v>
      </c>
    </row>
    <row r="47" spans="1:20" x14ac:dyDescent="0.2">
      <c r="A47" s="2" t="s">
        <v>59</v>
      </c>
      <c r="B47" s="56" t="s">
        <v>57</v>
      </c>
      <c r="C47" s="56" t="s">
        <v>63</v>
      </c>
      <c r="D47" s="35">
        <f t="shared" si="4"/>
        <v>2985911.2</v>
      </c>
      <c r="E47" s="47"/>
      <c r="F47" s="47"/>
      <c r="G47" s="46"/>
      <c r="H47" s="47"/>
      <c r="I47" s="46"/>
      <c r="J47" s="47"/>
      <c r="K47" s="47">
        <f>2985911.2</f>
        <v>2985911.2</v>
      </c>
      <c r="L47" s="46"/>
      <c r="M47" s="46"/>
      <c r="N47" s="46"/>
      <c r="O47" s="46"/>
      <c r="P47" s="46"/>
      <c r="Q47" s="46"/>
      <c r="R47" s="46"/>
      <c r="S47" s="8">
        <f t="shared" si="3"/>
        <v>2.0451446575342466E-2</v>
      </c>
    </row>
    <row r="48" spans="1:20" x14ac:dyDescent="0.2">
      <c r="A48" s="86" t="s">
        <v>20</v>
      </c>
      <c r="B48" s="81" t="s">
        <v>91</v>
      </c>
      <c r="C48" s="81" t="s">
        <v>92</v>
      </c>
      <c r="D48" s="48">
        <f>SUM(E48:Q48)</f>
        <v>721674.99</v>
      </c>
      <c r="E48" s="82"/>
      <c r="F48" s="83"/>
      <c r="G48" s="83"/>
      <c r="H48" s="83"/>
      <c r="I48" s="83"/>
      <c r="J48" s="83"/>
      <c r="K48" s="83"/>
      <c r="L48" s="82"/>
      <c r="M48" s="82"/>
      <c r="N48" s="82">
        <f>721674.99</f>
        <v>721674.99</v>
      </c>
      <c r="O48" s="83"/>
      <c r="P48" s="83"/>
      <c r="Q48" s="83"/>
      <c r="R48" s="83"/>
      <c r="S48" s="49">
        <f t="shared" si="3"/>
        <v>4.9429793835616435E-3</v>
      </c>
      <c r="T48" s="8">
        <f>SUM(S31:S48)</f>
        <v>0.3188013910273973</v>
      </c>
    </row>
    <row r="49" spans="1:20" x14ac:dyDescent="0.2">
      <c r="A49" s="2" t="s">
        <v>12</v>
      </c>
      <c r="B49" s="56" t="s">
        <v>50</v>
      </c>
      <c r="C49" s="2" t="s">
        <v>51</v>
      </c>
      <c r="D49" s="35">
        <f t="shared" si="4"/>
        <v>32646.23</v>
      </c>
      <c r="E49" s="35">
        <f>32646.23</f>
        <v>32646.23</v>
      </c>
      <c r="S49" s="8">
        <f t="shared" si="3"/>
        <v>2.2360431506849316E-4</v>
      </c>
    </row>
    <row r="50" spans="1:20" x14ac:dyDescent="0.2">
      <c r="A50" s="2" t="s">
        <v>12</v>
      </c>
      <c r="B50" s="56" t="s">
        <v>150</v>
      </c>
      <c r="C50" s="2" t="s">
        <v>151</v>
      </c>
      <c r="D50" s="35">
        <f t="shared" si="4"/>
        <v>51833</v>
      </c>
      <c r="E50" s="35">
        <f>51833</f>
        <v>51833</v>
      </c>
      <c r="S50" s="8">
        <f t="shared" si="3"/>
        <v>3.5502054794520548E-4</v>
      </c>
    </row>
    <row r="51" spans="1:20" x14ac:dyDescent="0.2">
      <c r="A51" s="56" t="s">
        <v>13</v>
      </c>
      <c r="B51" s="56" t="s">
        <v>52</v>
      </c>
      <c r="C51" s="56" t="s">
        <v>53</v>
      </c>
      <c r="D51" s="35">
        <f t="shared" si="4"/>
        <v>15783.01</v>
      </c>
      <c r="F51" s="35">
        <f>15783.01</f>
        <v>15783.01</v>
      </c>
      <c r="S51" s="8">
        <f t="shared" si="3"/>
        <v>1.0810280821917808E-4</v>
      </c>
    </row>
    <row r="52" spans="1:20" x14ac:dyDescent="0.2">
      <c r="A52" s="56" t="s">
        <v>15</v>
      </c>
      <c r="B52" s="56" t="s">
        <v>146</v>
      </c>
      <c r="C52" s="56" t="s">
        <v>147</v>
      </c>
      <c r="D52" s="35">
        <f t="shared" si="4"/>
        <v>289002.8</v>
      </c>
      <c r="H52" s="35">
        <f>289002.8</f>
        <v>289002.8</v>
      </c>
      <c r="S52" s="8">
        <f t="shared" si="3"/>
        <v>1.9794712328767123E-3</v>
      </c>
    </row>
    <row r="53" spans="1:20" x14ac:dyDescent="0.2">
      <c r="A53" s="56" t="s">
        <v>16</v>
      </c>
      <c r="B53" s="56" t="s">
        <v>45</v>
      </c>
      <c r="C53" s="56" t="s">
        <v>48</v>
      </c>
      <c r="D53" s="35">
        <f t="shared" si="4"/>
        <v>781832.89</v>
      </c>
      <c r="I53" s="35">
        <f>781832.89</f>
        <v>781832.89</v>
      </c>
      <c r="S53" s="8">
        <f t="shared" si="3"/>
        <v>5.3550197945205482E-3</v>
      </c>
    </row>
    <row r="54" spans="1:20" x14ac:dyDescent="0.2">
      <c r="A54" s="2" t="s">
        <v>16</v>
      </c>
      <c r="B54" s="56" t="s">
        <v>61</v>
      </c>
      <c r="C54" s="56" t="s">
        <v>86</v>
      </c>
      <c r="D54" s="35">
        <f t="shared" si="4"/>
        <v>8000357.7300000004</v>
      </c>
      <c r="I54" s="35">
        <f>8000357.73</f>
        <v>8000357.7300000004</v>
      </c>
      <c r="S54" s="8">
        <f t="shared" si="3"/>
        <v>5.4796970753424663E-2</v>
      </c>
    </row>
    <row r="55" spans="1:20" x14ac:dyDescent="0.2">
      <c r="A55" s="56" t="s">
        <v>16</v>
      </c>
      <c r="B55" s="56" t="s">
        <v>124</v>
      </c>
      <c r="C55" s="56" t="s">
        <v>67</v>
      </c>
      <c r="D55" s="35">
        <f t="shared" si="4"/>
        <v>7257223.1399999997</v>
      </c>
      <c r="I55" s="35">
        <f>7257223.14</f>
        <v>7257223.1399999997</v>
      </c>
      <c r="S55" s="8">
        <f t="shared" si="3"/>
        <v>4.9707007808219177E-2</v>
      </c>
    </row>
    <row r="56" spans="1:20" x14ac:dyDescent="0.2">
      <c r="A56" s="56" t="s">
        <v>20</v>
      </c>
      <c r="B56" s="56" t="s">
        <v>152</v>
      </c>
      <c r="C56" s="56" t="s">
        <v>54</v>
      </c>
      <c r="D56" s="35">
        <f t="shared" si="4"/>
        <v>632090.81999999995</v>
      </c>
      <c r="N56" s="35">
        <f>599973.82+32117</f>
        <v>632090.81999999995</v>
      </c>
      <c r="S56" s="8">
        <f t="shared" si="3"/>
        <v>4.3293891780821917E-3</v>
      </c>
    </row>
    <row r="57" spans="1:20" x14ac:dyDescent="0.2">
      <c r="A57" s="2" t="s">
        <v>22</v>
      </c>
      <c r="B57" s="56" t="s">
        <v>149</v>
      </c>
      <c r="C57" t="s">
        <v>68</v>
      </c>
      <c r="D57" s="35">
        <f t="shared" si="4"/>
        <v>16420386.5</v>
      </c>
      <c r="P57" s="109">
        <f>1098+15688863.45+730425.05</f>
        <v>16420386.5</v>
      </c>
      <c r="S57" s="8">
        <f t="shared" si="3"/>
        <v>0.11246840068493151</v>
      </c>
    </row>
    <row r="58" spans="1:20" x14ac:dyDescent="0.2">
      <c r="A58" s="2" t="s">
        <v>22</v>
      </c>
      <c r="B58" s="56" t="s">
        <v>148</v>
      </c>
      <c r="C58" t="s">
        <v>49</v>
      </c>
      <c r="D58" s="35">
        <f>SUM(E58:R58)</f>
        <v>44552798.170000002</v>
      </c>
      <c r="P58" s="35">
        <f>57781.37+22956002.35+12614734.63+8311387.07+122875.24+490017.51</f>
        <v>44552798.170000002</v>
      </c>
      <c r="S58" s="8">
        <f t="shared" si="3"/>
        <v>0.3051561518493151</v>
      </c>
    </row>
    <row r="59" spans="1:20" x14ac:dyDescent="0.2">
      <c r="A59" s="56" t="s">
        <v>22</v>
      </c>
      <c r="B59" s="56" t="s">
        <v>142</v>
      </c>
      <c r="C59" s="56" t="s">
        <v>143</v>
      </c>
      <c r="D59" s="35">
        <f>SUM(E59:R59)</f>
        <v>10150.83</v>
      </c>
      <c r="P59" s="35">
        <f>10150.83</f>
        <v>10150.83</v>
      </c>
      <c r="S59" s="8">
        <f t="shared" si="3"/>
        <v>6.9526232876712324E-5</v>
      </c>
    </row>
    <row r="60" spans="1:20" ht="13.5" thickBot="1" x14ac:dyDescent="0.25">
      <c r="A60" s="75" t="s">
        <v>59</v>
      </c>
      <c r="B60" s="75"/>
      <c r="C60" s="80" t="s">
        <v>128</v>
      </c>
      <c r="D60" s="76">
        <f>SUM(E60:R60)</f>
        <v>21410891.790000021</v>
      </c>
      <c r="E60" s="77"/>
      <c r="F60" s="78"/>
      <c r="G60" s="78"/>
      <c r="H60" s="78"/>
      <c r="I60" s="78"/>
      <c r="J60" s="78"/>
      <c r="K60" s="78"/>
      <c r="L60" s="77"/>
      <c r="M60" s="77"/>
      <c r="N60" s="77"/>
      <c r="O60" s="78"/>
      <c r="P60" s="77"/>
      <c r="Q60" s="77"/>
      <c r="R60" s="77">
        <f>146000000-SUM(D31:D59)</f>
        <v>21410891.790000021</v>
      </c>
      <c r="S60" s="129">
        <f>D60/D9</f>
        <v>0.14664994376712343</v>
      </c>
      <c r="T60" s="8"/>
    </row>
    <row r="61" spans="1:20" ht="13.5" thickTop="1" x14ac:dyDescent="0.2">
      <c r="A61" s="2" t="s">
        <v>12</v>
      </c>
      <c r="B61" s="56" t="s">
        <v>125</v>
      </c>
      <c r="C61" s="2" t="s">
        <v>46</v>
      </c>
      <c r="D61" s="35">
        <f>SUM(E61:Q61)</f>
        <v>13265004.609999999</v>
      </c>
      <c r="E61" s="47">
        <f>9312023.08+3952981.53</f>
        <v>13265004.609999999</v>
      </c>
      <c r="F61" s="46"/>
      <c r="G61" s="46"/>
      <c r="H61" s="46"/>
      <c r="I61" s="46"/>
      <c r="J61" s="46"/>
      <c r="K61" s="46"/>
      <c r="L61" s="47"/>
      <c r="M61" s="47"/>
      <c r="N61" s="47"/>
      <c r="O61" s="46"/>
      <c r="P61" s="47"/>
      <c r="Q61" s="47"/>
      <c r="R61" s="47"/>
      <c r="S61" s="8">
        <f>D61/$D$11</f>
        <v>0.165812557625</v>
      </c>
      <c r="T61" s="8"/>
    </row>
    <row r="62" spans="1:20" x14ac:dyDescent="0.2">
      <c r="A62" s="2" t="s">
        <v>12</v>
      </c>
      <c r="B62" s="56" t="s">
        <v>126</v>
      </c>
      <c r="C62" s="2" t="s">
        <v>47</v>
      </c>
      <c r="D62" s="35">
        <f>SUM(E62:Q62)</f>
        <v>66734995.390000001</v>
      </c>
      <c r="E62" s="35">
        <f>20828474.09+43000000+2906521.3</f>
        <v>66734995.390000001</v>
      </c>
      <c r="S62" s="8">
        <f>D62/$D11</f>
        <v>0.83418744237499998</v>
      </c>
    </row>
    <row r="63" spans="1:20" x14ac:dyDescent="0.2"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9"/>
    </row>
    <row r="64" spans="1:20" s="8" customFormat="1" ht="13.5" thickBot="1" x14ac:dyDescent="0.25">
      <c r="B64" s="50"/>
      <c r="C64" s="51" t="s">
        <v>26</v>
      </c>
      <c r="D64" s="52"/>
      <c r="E64" s="53">
        <f>E5/D5</f>
        <v>0.49791564417355366</v>
      </c>
      <c r="F64" s="53">
        <f>F5/D5</f>
        <v>1.7633763016528928E-2</v>
      </c>
      <c r="G64" s="53">
        <f>G5/D5</f>
        <v>0</v>
      </c>
      <c r="H64" s="53">
        <f>H5/D5</f>
        <v>1.172334132231405E-2</v>
      </c>
      <c r="I64" s="53">
        <f>I5/D5</f>
        <v>7.713734061983471E-2</v>
      </c>
      <c r="J64" s="53">
        <f>J5/D5</f>
        <v>0</v>
      </c>
      <c r="K64" s="53">
        <f>K5/D5</f>
        <v>1.3702799256198347E-2</v>
      </c>
      <c r="L64" s="53">
        <f>L5/D5</f>
        <v>1.84928652892562E-3</v>
      </c>
      <c r="M64" s="53">
        <f>M5/D5</f>
        <v>3.1280506198347107E-3</v>
      </c>
      <c r="N64" s="53">
        <f>N5/D5</f>
        <v>6.8434926859504133E-3</v>
      </c>
      <c r="O64" s="53">
        <f>O5/D5</f>
        <v>4.9241038842975215E-3</v>
      </c>
      <c r="P64" s="53">
        <f>P5/D5</f>
        <v>0.26301000677685948</v>
      </c>
      <c r="Q64" s="53">
        <f>Q5/D5</f>
        <v>1.206997685950413E-3</v>
      </c>
      <c r="R64" s="53"/>
      <c r="S64" s="53"/>
    </row>
    <row r="65" spans="1:4" s="8" customFormat="1" ht="13.5" thickTop="1" x14ac:dyDescent="0.2">
      <c r="A65" s="54"/>
      <c r="C65" s="51"/>
    </row>
    <row r="66" spans="1:4" x14ac:dyDescent="0.2">
      <c r="D66" s="35">
        <f>D30</f>
        <v>3013000.1799999997</v>
      </c>
    </row>
    <row r="67" spans="1:4" x14ac:dyDescent="0.2">
      <c r="D67" s="35">
        <f>D60</f>
        <v>21410891.790000021</v>
      </c>
    </row>
    <row r="68" spans="1:4" x14ac:dyDescent="0.2">
      <c r="D68" s="35">
        <f>SUM(D66:D67)</f>
        <v>24423891.970000021</v>
      </c>
    </row>
    <row r="70" spans="1:4" x14ac:dyDescent="0.2">
      <c r="D70" s="35">
        <f>'[1]Summary 2021A'!$C$789</f>
        <v>23573339.599999994</v>
      </c>
    </row>
    <row r="71" spans="1:4" x14ac:dyDescent="0.2">
      <c r="D71" s="35">
        <f>D68-D70</f>
        <v>850552.37000002712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1D3C9-E2EE-4F44-AB64-876FCC0658E4}">
  <sheetPr>
    <tabColor theme="9" tint="0.59999389629810485"/>
  </sheetPr>
  <dimension ref="A1:S73"/>
  <sheetViews>
    <sheetView zoomScale="90" zoomScaleNormal="90" workbookViewId="0">
      <pane xSplit="4" ySplit="11" topLeftCell="I30" activePane="bottomRight" state="frozen"/>
      <selection pane="topRight" activeCell="E1" sqref="E1"/>
      <selection pane="bottomLeft" activeCell="A12" sqref="A12"/>
      <selection pane="bottomRight" activeCell="R49" sqref="R49"/>
    </sheetView>
  </sheetViews>
  <sheetFormatPr defaultRowHeight="12.75" x14ac:dyDescent="0.2"/>
  <cols>
    <col min="2" max="2" width="15.7109375" customWidth="1"/>
    <col min="3" max="3" width="36.5703125" customWidth="1"/>
    <col min="4" max="4" width="15.42578125" style="35" customWidth="1"/>
    <col min="5" max="5" width="15.5703125" style="35" customWidth="1"/>
    <col min="6" max="6" width="16" style="35" customWidth="1"/>
    <col min="7" max="7" width="10.85546875" style="35" hidden="1" customWidth="1"/>
    <col min="8" max="8" width="13" style="35" customWidth="1"/>
    <col min="9" max="9" width="14.28515625" style="35" customWidth="1"/>
    <col min="10" max="10" width="12.7109375" style="35" hidden="1" customWidth="1"/>
    <col min="11" max="11" width="13" style="35" customWidth="1"/>
    <col min="12" max="12" width="12.140625" style="35" customWidth="1"/>
    <col min="13" max="13" width="11.28515625" style="35" customWidth="1"/>
    <col min="14" max="14" width="13.28515625" style="35" customWidth="1"/>
    <col min="15" max="15" width="14" style="35" customWidth="1"/>
    <col min="16" max="16" width="14.42578125" style="35" customWidth="1"/>
    <col min="17" max="17" width="12.7109375" style="35" customWidth="1"/>
    <col min="18" max="18" width="14.28515625" style="35" customWidth="1"/>
    <col min="19" max="19" width="12.7109375" style="8" customWidth="1"/>
  </cols>
  <sheetData>
    <row r="1" spans="1:19" x14ac:dyDescent="0.2">
      <c r="A1" s="63" t="s">
        <v>98</v>
      </c>
    </row>
    <row r="3" spans="1:19" x14ac:dyDescent="0.2">
      <c r="A3" s="36"/>
      <c r="B3" s="36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96" t="s">
        <v>59</v>
      </c>
      <c r="S3" s="38" t="s">
        <v>8</v>
      </c>
    </row>
    <row r="4" spans="1:19" x14ac:dyDescent="0.2">
      <c r="A4" s="39" t="s">
        <v>9</v>
      </c>
      <c r="B4" s="39" t="s">
        <v>10</v>
      </c>
      <c r="C4" s="39" t="s">
        <v>11</v>
      </c>
      <c r="D4" s="40" t="s">
        <v>4</v>
      </c>
      <c r="E4" s="40" t="s">
        <v>12</v>
      </c>
      <c r="F4" s="40" t="s">
        <v>13</v>
      </c>
      <c r="G4" s="40" t="s">
        <v>14</v>
      </c>
      <c r="H4" s="40" t="s">
        <v>15</v>
      </c>
      <c r="I4" s="40" t="s">
        <v>16</v>
      </c>
      <c r="J4" s="40" t="s">
        <v>17</v>
      </c>
      <c r="K4" s="40" t="s">
        <v>59</v>
      </c>
      <c r="L4" s="40" t="s">
        <v>18</v>
      </c>
      <c r="M4" s="40" t="s">
        <v>19</v>
      </c>
      <c r="N4" s="40" t="s">
        <v>20</v>
      </c>
      <c r="O4" s="40" t="s">
        <v>21</v>
      </c>
      <c r="P4" s="40" t="s">
        <v>22</v>
      </c>
      <c r="Q4" s="40" t="s">
        <v>23</v>
      </c>
      <c r="R4" s="95" t="s">
        <v>128</v>
      </c>
      <c r="S4" s="41" t="s">
        <v>24</v>
      </c>
    </row>
    <row r="5" spans="1:19" s="42" customFormat="1" ht="13.5" thickBot="1" x14ac:dyDescent="0.25">
      <c r="C5" s="42" t="s">
        <v>25</v>
      </c>
      <c r="D5" s="43">
        <f>D7+D9+D11</f>
        <v>242000000</v>
      </c>
      <c r="E5" s="43">
        <f t="shared" ref="E5:Q5" si="0">E7+E9+E11</f>
        <v>120872418.05</v>
      </c>
      <c r="F5" s="43">
        <f>F7+F9+F11</f>
        <v>4267370.6500000004</v>
      </c>
      <c r="G5" s="43">
        <f t="shared" si="0"/>
        <v>0</v>
      </c>
      <c r="H5" s="43">
        <f t="shared" si="0"/>
        <v>5210219.4700000007</v>
      </c>
      <c r="I5" s="43">
        <f t="shared" si="0"/>
        <v>19621636.989999998</v>
      </c>
      <c r="J5" s="43">
        <f t="shared" si="0"/>
        <v>0</v>
      </c>
      <c r="K5" s="43">
        <f t="shared" si="0"/>
        <v>3316077.42</v>
      </c>
      <c r="L5" s="43">
        <f t="shared" si="0"/>
        <v>447527.33999999997</v>
      </c>
      <c r="M5" s="43">
        <f t="shared" si="0"/>
        <v>756988.25</v>
      </c>
      <c r="N5" s="43">
        <f t="shared" si="0"/>
        <v>1928836.5699999998</v>
      </c>
      <c r="O5" s="43">
        <f t="shared" si="0"/>
        <v>1191633.1400000001</v>
      </c>
      <c r="P5" s="43">
        <f t="shared" si="0"/>
        <v>75260989.109999999</v>
      </c>
      <c r="Q5" s="43">
        <f t="shared" si="0"/>
        <v>292093.43999999994</v>
      </c>
      <c r="R5" s="43">
        <f>R7+R9+R11</f>
        <v>8834209.5699999854</v>
      </c>
      <c r="S5" s="44"/>
    </row>
    <row r="6" spans="1:19" s="42" customFormat="1" ht="13.5" thickTop="1" x14ac:dyDescent="0.2"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55"/>
    </row>
    <row r="7" spans="1:19" s="42" customFormat="1" ht="13.5" thickBot="1" x14ac:dyDescent="0.25">
      <c r="C7" s="74" t="s">
        <v>81</v>
      </c>
      <c r="D7" s="43">
        <f>SUM(E7:R7)</f>
        <v>16000000</v>
      </c>
      <c r="E7" s="43">
        <f>E13+E14</f>
        <v>4103709.37</v>
      </c>
      <c r="F7" s="43">
        <f>F15</f>
        <v>1238587.46</v>
      </c>
      <c r="G7" s="43"/>
      <c r="H7" s="43">
        <f>H16+H17</f>
        <v>1544590.23</v>
      </c>
      <c r="I7" s="43">
        <f>I18</f>
        <v>114258.81</v>
      </c>
      <c r="J7" s="43">
        <f>J19</f>
        <v>0</v>
      </c>
      <c r="K7" s="43">
        <f>K20</f>
        <v>330166.21999999997</v>
      </c>
      <c r="L7" s="43">
        <f>L21</f>
        <v>447527.33999999997</v>
      </c>
      <c r="M7" s="43">
        <f>M23+M24</f>
        <v>756988.25</v>
      </c>
      <c r="N7" s="43">
        <f>N25</f>
        <v>302359.42</v>
      </c>
      <c r="O7" s="43">
        <f>O26</f>
        <v>1191633.1400000001</v>
      </c>
      <c r="P7" s="43">
        <f>P28</f>
        <v>2665086.1400000006</v>
      </c>
      <c r="Q7" s="43">
        <f>Q29</f>
        <v>292093.43999999994</v>
      </c>
      <c r="R7" s="43">
        <f>R30</f>
        <v>3013000.1799999997</v>
      </c>
      <c r="S7" s="44">
        <f>SUM(S13:S30)</f>
        <v>1</v>
      </c>
    </row>
    <row r="8" spans="1:19" s="42" customFormat="1" ht="13.5" thickTop="1" x14ac:dyDescent="0.2"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55"/>
    </row>
    <row r="9" spans="1:19" s="42" customFormat="1" ht="13.5" thickBot="1" x14ac:dyDescent="0.25">
      <c r="C9" s="74" t="s">
        <v>82</v>
      </c>
      <c r="D9" s="43">
        <f>SUM(E9:R9)</f>
        <v>146000000</v>
      </c>
      <c r="E9" s="43">
        <f>E33+E34+E35+E37+E49+E38+E50</f>
        <v>36768708.68</v>
      </c>
      <c r="F9" s="43">
        <f>F51+F31</f>
        <v>3028783.19</v>
      </c>
      <c r="G9" s="43"/>
      <c r="H9" s="43">
        <f>H43+H42+H52</f>
        <v>3665629.24</v>
      </c>
      <c r="I9" s="43">
        <f>I44+I45+I53+I54+I55+I46</f>
        <v>19507378.18</v>
      </c>
      <c r="J9" s="43">
        <v>0</v>
      </c>
      <c r="K9" s="43">
        <f>K47</f>
        <v>2985911.2</v>
      </c>
      <c r="L9" s="43">
        <v>0</v>
      </c>
      <c r="M9" s="43">
        <v>0</v>
      </c>
      <c r="N9" s="43">
        <f>N48+N56</f>
        <v>1626477.15</v>
      </c>
      <c r="O9" s="43"/>
      <c r="P9" s="43">
        <f>P57+P58+P59+P73</f>
        <v>72595902.969999999</v>
      </c>
      <c r="Q9" s="43">
        <v>0</v>
      </c>
      <c r="R9" s="43">
        <f>R60</f>
        <v>5821209.3899999857</v>
      </c>
      <c r="S9" s="44">
        <f>SUM(S31:S60)</f>
        <v>0.99999999999999989</v>
      </c>
    </row>
    <row r="10" spans="1:19" ht="13.5" thickTop="1" x14ac:dyDescent="0.2">
      <c r="A10" s="45"/>
      <c r="B10" s="2"/>
      <c r="C10" s="2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19" ht="13.5" thickBot="1" x14ac:dyDescent="0.25">
      <c r="A11" s="45"/>
      <c r="B11" s="2"/>
      <c r="C11" s="74" t="s">
        <v>99</v>
      </c>
      <c r="D11" s="43">
        <f>SUM(E11:R11)</f>
        <v>80000000</v>
      </c>
      <c r="E11" s="43">
        <f>E61+E62</f>
        <v>80000000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44">
        <f>S61+S62</f>
        <v>1</v>
      </c>
    </row>
    <row r="12" spans="1:19" ht="13.5" thickTop="1" x14ac:dyDescent="0.2">
      <c r="A12" s="45"/>
      <c r="B12" s="2"/>
      <c r="C12" s="2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</row>
    <row r="13" spans="1:19" x14ac:dyDescent="0.2">
      <c r="A13" s="56" t="s">
        <v>12</v>
      </c>
      <c r="B13" s="56" t="s">
        <v>91</v>
      </c>
      <c r="C13" s="56" t="s">
        <v>35</v>
      </c>
      <c r="D13" s="35">
        <f t="shared" ref="D13:D28" si="1">SUM(E13:R13)</f>
        <v>4021524.18</v>
      </c>
      <c r="E13" s="47">
        <v>4021524.18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8">
        <f>D13/D7</f>
        <v>0.25134526125000001</v>
      </c>
    </row>
    <row r="14" spans="1:19" x14ac:dyDescent="0.2">
      <c r="A14" s="56" t="s">
        <v>12</v>
      </c>
      <c r="B14" s="56" t="s">
        <v>40</v>
      </c>
      <c r="C14" s="56" t="s">
        <v>39</v>
      </c>
      <c r="D14" s="35">
        <f t="shared" si="1"/>
        <v>82185.19</v>
      </c>
      <c r="E14" s="47">
        <v>82185.19</v>
      </c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>
        <f>D14/D7</f>
        <v>5.1365743750000003E-3</v>
      </c>
    </row>
    <row r="15" spans="1:19" x14ac:dyDescent="0.2">
      <c r="A15" s="2" t="s">
        <v>13</v>
      </c>
      <c r="B15" s="56" t="s">
        <v>122</v>
      </c>
      <c r="C15" s="56" t="s">
        <v>35</v>
      </c>
      <c r="D15" s="35">
        <f t="shared" si="1"/>
        <v>1238587.46</v>
      </c>
      <c r="E15" s="47"/>
      <c r="F15" s="47">
        <f>62512.36+429133.23+47446+646142.72+39277.38+10483.21+87.36+2590.32+679.68+235.2</f>
        <v>1238587.46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8">
        <f>D15/D7</f>
        <v>7.7411716249999998E-2</v>
      </c>
    </row>
    <row r="16" spans="1:19" x14ac:dyDescent="0.2">
      <c r="A16" s="2" t="s">
        <v>15</v>
      </c>
      <c r="B16" s="56" t="s">
        <v>145</v>
      </c>
      <c r="C16" s="56" t="s">
        <v>35</v>
      </c>
      <c r="D16" s="35">
        <f t="shared" si="1"/>
        <v>387867.72000000003</v>
      </c>
      <c r="E16" s="47"/>
      <c r="F16" s="47"/>
      <c r="G16" s="46"/>
      <c r="H16" s="47">
        <f>89800+293494.89+4572.83</f>
        <v>387867.72000000003</v>
      </c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8">
        <f>D16/D7</f>
        <v>2.4241732500000002E-2</v>
      </c>
    </row>
    <row r="17" spans="1:19" x14ac:dyDescent="0.2">
      <c r="A17" s="56" t="s">
        <v>15</v>
      </c>
      <c r="B17" s="56" t="s">
        <v>117</v>
      </c>
      <c r="C17" s="56" t="s">
        <v>39</v>
      </c>
      <c r="D17" s="35">
        <f t="shared" si="1"/>
        <v>1156722.51</v>
      </c>
      <c r="E17" s="47"/>
      <c r="F17" s="47"/>
      <c r="G17" s="46"/>
      <c r="H17" s="229">
        <f>1098316.5+58406.01</f>
        <v>1156722.51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8">
        <f>D17/D7</f>
        <v>7.2295156875000002E-2</v>
      </c>
    </row>
    <row r="18" spans="1:19" x14ac:dyDescent="0.2">
      <c r="A18" s="2" t="s">
        <v>16</v>
      </c>
      <c r="B18" s="56" t="s">
        <v>140</v>
      </c>
      <c r="C18" s="56" t="s">
        <v>35</v>
      </c>
      <c r="D18" s="35">
        <f t="shared" si="1"/>
        <v>114258.81</v>
      </c>
      <c r="E18" s="47"/>
      <c r="F18" s="47"/>
      <c r="G18" s="46"/>
      <c r="H18" s="47"/>
      <c r="I18" s="47">
        <f>75864.25+38394.56</f>
        <v>114258.81</v>
      </c>
      <c r="J18" s="46"/>
      <c r="K18" s="46"/>
      <c r="L18" s="46"/>
      <c r="M18" s="46"/>
      <c r="N18" s="46"/>
      <c r="O18" s="46"/>
      <c r="P18" s="46"/>
      <c r="Q18" s="46"/>
      <c r="R18" s="46"/>
      <c r="S18" s="8">
        <f>D18/D7</f>
        <v>7.1411756250000001E-3</v>
      </c>
    </row>
    <row r="19" spans="1:19" hidden="1" x14ac:dyDescent="0.2">
      <c r="A19" s="2" t="s">
        <v>17</v>
      </c>
      <c r="B19" s="56" t="s">
        <v>65</v>
      </c>
      <c r="C19" s="56" t="s">
        <v>35</v>
      </c>
      <c r="D19" s="35">
        <f t="shared" si="1"/>
        <v>0</v>
      </c>
      <c r="E19" s="47"/>
      <c r="F19" s="47"/>
      <c r="G19" s="46"/>
      <c r="H19" s="47"/>
      <c r="I19" s="46"/>
      <c r="J19" s="47"/>
      <c r="K19" s="47"/>
      <c r="L19" s="46"/>
      <c r="M19" s="46"/>
      <c r="N19" s="46"/>
      <c r="O19" s="46"/>
      <c r="P19" s="46"/>
      <c r="Q19" s="46"/>
      <c r="R19" s="46"/>
      <c r="S19" s="8">
        <f>D19/D7</f>
        <v>0</v>
      </c>
    </row>
    <row r="20" spans="1:19" x14ac:dyDescent="0.2">
      <c r="A20" s="2" t="s">
        <v>59</v>
      </c>
      <c r="B20" s="56" t="s">
        <v>136</v>
      </c>
      <c r="C20" s="56" t="s">
        <v>39</v>
      </c>
      <c r="D20" s="35">
        <f t="shared" si="1"/>
        <v>330166.21999999997</v>
      </c>
      <c r="E20" s="47"/>
      <c r="F20" s="47"/>
      <c r="G20" s="46"/>
      <c r="H20" s="47"/>
      <c r="I20" s="46"/>
      <c r="J20" s="47"/>
      <c r="K20" s="47">
        <f>145740.07+184426.15</f>
        <v>330166.21999999997</v>
      </c>
      <c r="L20" s="46"/>
      <c r="M20" s="46"/>
      <c r="N20" s="46"/>
      <c r="O20" s="46"/>
      <c r="P20" s="46"/>
      <c r="Q20" s="46"/>
      <c r="R20" s="46"/>
      <c r="S20" s="8">
        <f>D20/D7</f>
        <v>2.0635388749999997E-2</v>
      </c>
    </row>
    <row r="21" spans="1:19" x14ac:dyDescent="0.2">
      <c r="A21" s="2" t="s">
        <v>18</v>
      </c>
      <c r="B21" s="56" t="s">
        <v>113</v>
      </c>
      <c r="C21" s="56" t="s">
        <v>35</v>
      </c>
      <c r="D21" s="35">
        <f t="shared" si="1"/>
        <v>447527.33999999997</v>
      </c>
      <c r="E21" s="47"/>
      <c r="F21" s="47"/>
      <c r="G21" s="46"/>
      <c r="H21" s="47"/>
      <c r="I21" s="46"/>
      <c r="J21" s="47"/>
      <c r="K21" s="47"/>
      <c r="L21" s="47">
        <v>447527.33999999997</v>
      </c>
      <c r="M21" s="46"/>
      <c r="N21" s="46"/>
      <c r="O21" s="46"/>
      <c r="P21" s="46"/>
      <c r="Q21" s="46"/>
      <c r="R21" s="46"/>
      <c r="S21" s="8">
        <f>D21/D7</f>
        <v>2.7970458749999996E-2</v>
      </c>
    </row>
    <row r="22" spans="1:19" hidden="1" x14ac:dyDescent="0.2">
      <c r="A22" s="2" t="s">
        <v>18</v>
      </c>
      <c r="B22" s="2" t="s">
        <v>41</v>
      </c>
      <c r="C22" s="2" t="s">
        <v>42</v>
      </c>
      <c r="D22" s="35">
        <f t="shared" si="1"/>
        <v>0</v>
      </c>
      <c r="E22" s="47"/>
      <c r="F22" s="46"/>
      <c r="G22" s="46"/>
      <c r="H22" s="46"/>
      <c r="I22" s="46"/>
      <c r="J22" s="46"/>
      <c r="K22" s="46"/>
      <c r="L22" s="47"/>
      <c r="M22" s="46"/>
      <c r="N22" s="46"/>
      <c r="O22" s="46"/>
      <c r="P22" s="46"/>
      <c r="Q22" s="46"/>
      <c r="R22" s="46"/>
      <c r="S22" s="8">
        <f>D22/D16</f>
        <v>0</v>
      </c>
    </row>
    <row r="23" spans="1:19" x14ac:dyDescent="0.2">
      <c r="A23" s="2" t="s">
        <v>19</v>
      </c>
      <c r="B23" s="56" t="s">
        <v>116</v>
      </c>
      <c r="C23" s="56" t="s">
        <v>35</v>
      </c>
      <c r="D23" s="35">
        <f t="shared" si="1"/>
        <v>756988.25</v>
      </c>
      <c r="E23" s="47"/>
      <c r="F23" s="46"/>
      <c r="G23" s="46"/>
      <c r="H23" s="46"/>
      <c r="I23" s="46"/>
      <c r="J23" s="46"/>
      <c r="K23" s="46"/>
      <c r="L23" s="47"/>
      <c r="M23" s="47">
        <f>198994.71+309000+248993.54</f>
        <v>756988.25</v>
      </c>
      <c r="N23" s="46"/>
      <c r="O23" s="46"/>
      <c r="P23" s="46"/>
      <c r="Q23" s="46"/>
      <c r="R23" s="46"/>
      <c r="S23" s="8">
        <f>D23/D7</f>
        <v>4.7311765625000002E-2</v>
      </c>
    </row>
    <row r="24" spans="1:19" hidden="1" x14ac:dyDescent="0.2">
      <c r="A24" s="56" t="s">
        <v>19</v>
      </c>
      <c r="B24" s="56" t="s">
        <v>85</v>
      </c>
      <c r="C24" s="56" t="s">
        <v>39</v>
      </c>
      <c r="D24" s="35">
        <f t="shared" si="1"/>
        <v>0</v>
      </c>
      <c r="E24" s="47"/>
      <c r="F24" s="46"/>
      <c r="G24" s="46"/>
      <c r="H24" s="46"/>
      <c r="I24" s="46"/>
      <c r="J24" s="46"/>
      <c r="K24" s="46"/>
      <c r="L24" s="47"/>
      <c r="M24" s="47"/>
      <c r="N24" s="46"/>
      <c r="O24" s="46"/>
      <c r="P24" s="46"/>
      <c r="Q24" s="46"/>
      <c r="R24" s="46"/>
      <c r="S24" s="8">
        <f>D24/D7</f>
        <v>0</v>
      </c>
    </row>
    <row r="25" spans="1:19" x14ac:dyDescent="0.2">
      <c r="A25" s="2" t="s">
        <v>20</v>
      </c>
      <c r="B25" s="56" t="s">
        <v>141</v>
      </c>
      <c r="C25" s="56" t="s">
        <v>35</v>
      </c>
      <c r="D25" s="35">
        <f t="shared" si="1"/>
        <v>302359.42</v>
      </c>
      <c r="E25" s="47"/>
      <c r="F25" s="46"/>
      <c r="G25" s="46"/>
      <c r="H25" s="46"/>
      <c r="I25" s="46"/>
      <c r="J25" s="46"/>
      <c r="K25" s="46"/>
      <c r="L25" s="47"/>
      <c r="M25" s="47"/>
      <c r="N25" s="47">
        <f>94557.56+179395.12+23047.08+5359.66</f>
        <v>302359.42</v>
      </c>
      <c r="O25" s="46"/>
      <c r="P25" s="46"/>
      <c r="Q25" s="46"/>
      <c r="R25" s="46"/>
      <c r="S25" s="8">
        <f>D25/D7</f>
        <v>1.8897463749999999E-2</v>
      </c>
    </row>
    <row r="26" spans="1:19" x14ac:dyDescent="0.2">
      <c r="A26" s="2" t="s">
        <v>21</v>
      </c>
      <c r="B26" s="56" t="s">
        <v>139</v>
      </c>
      <c r="C26" s="56" t="s">
        <v>35</v>
      </c>
      <c r="D26" s="35">
        <f t="shared" si="1"/>
        <v>1191633.1400000001</v>
      </c>
      <c r="E26" s="47"/>
      <c r="F26" s="46"/>
      <c r="G26" s="46"/>
      <c r="H26" s="46"/>
      <c r="I26" s="46"/>
      <c r="J26" s="46"/>
      <c r="K26" s="46"/>
      <c r="L26" s="47"/>
      <c r="M26" s="47"/>
      <c r="N26" s="47"/>
      <c r="O26" s="47">
        <f>137991.19+238902.37+486586.83+328152.75</f>
        <v>1191633.1400000001</v>
      </c>
      <c r="P26" s="46"/>
      <c r="Q26" s="46"/>
      <c r="R26" s="46"/>
      <c r="S26" s="8">
        <f>D26/D7</f>
        <v>7.4477071250000013E-2</v>
      </c>
    </row>
    <row r="27" spans="1:19" hidden="1" x14ac:dyDescent="0.2">
      <c r="A27" s="2" t="s">
        <v>21</v>
      </c>
      <c r="B27" s="2" t="s">
        <v>36</v>
      </c>
      <c r="C27" s="2" t="s">
        <v>38</v>
      </c>
      <c r="D27" s="35">
        <f t="shared" si="1"/>
        <v>0</v>
      </c>
      <c r="E27" s="47"/>
      <c r="F27" s="46"/>
      <c r="G27" s="46"/>
      <c r="H27" s="46"/>
      <c r="I27" s="46"/>
      <c r="J27" s="46"/>
      <c r="K27" s="46"/>
      <c r="L27" s="47"/>
      <c r="M27" s="47"/>
      <c r="N27" s="47"/>
      <c r="O27" s="47"/>
      <c r="P27" s="46"/>
      <c r="Q27" s="46"/>
      <c r="R27" s="46"/>
      <c r="S27" s="8">
        <f>D27/D23</f>
        <v>0</v>
      </c>
    </row>
    <row r="28" spans="1:19" x14ac:dyDescent="0.2">
      <c r="A28" s="2" t="s">
        <v>22</v>
      </c>
      <c r="B28" s="56" t="s">
        <v>123</v>
      </c>
      <c r="C28" s="56" t="s">
        <v>35</v>
      </c>
      <c r="D28" s="35">
        <f t="shared" si="1"/>
        <v>2665086.1400000006</v>
      </c>
      <c r="E28" s="47"/>
      <c r="F28" s="46"/>
      <c r="G28" s="46"/>
      <c r="H28" s="46"/>
      <c r="I28" s="46"/>
      <c r="J28" s="46"/>
      <c r="K28" s="46"/>
      <c r="L28" s="47"/>
      <c r="M28" s="47"/>
      <c r="N28" s="47"/>
      <c r="O28" s="46"/>
      <c r="P28" s="47">
        <f>404671.71+1054256.82+578114.15+513210.16+104524.91+10018.39+290</f>
        <v>2665086.1400000006</v>
      </c>
      <c r="Q28" s="46"/>
      <c r="R28" s="46"/>
      <c r="S28" s="8">
        <f>D28/D7</f>
        <v>0.16656788375000003</v>
      </c>
    </row>
    <row r="29" spans="1:19" x14ac:dyDescent="0.2">
      <c r="A29" s="2" t="s">
        <v>23</v>
      </c>
      <c r="B29" s="56" t="s">
        <v>121</v>
      </c>
      <c r="C29" s="56" t="s">
        <v>35</v>
      </c>
      <c r="D29" s="35">
        <f>SUM(E29:R29)</f>
        <v>292093.43999999994</v>
      </c>
      <c r="E29" s="47"/>
      <c r="F29" s="46"/>
      <c r="G29" s="46"/>
      <c r="H29" s="46"/>
      <c r="I29" s="46"/>
      <c r="J29" s="46"/>
      <c r="K29" s="46"/>
      <c r="L29" s="47"/>
      <c r="M29" s="47"/>
      <c r="N29" s="47"/>
      <c r="O29" s="46"/>
      <c r="P29" s="47"/>
      <c r="Q29" s="47">
        <f>164124.54+23808.8+81771.25+22388.85</f>
        <v>292093.43999999994</v>
      </c>
      <c r="R29" s="47"/>
      <c r="S29" s="8">
        <f>D29/D7</f>
        <v>1.8255839999999995E-2</v>
      </c>
    </row>
    <row r="30" spans="1:19" ht="13.5" thickBot="1" x14ac:dyDescent="0.25">
      <c r="A30" s="75" t="s">
        <v>59</v>
      </c>
      <c r="B30" s="75"/>
      <c r="C30" s="80" t="s">
        <v>128</v>
      </c>
      <c r="D30" s="105">
        <f>SUM(E30:R30)</f>
        <v>3013000.1799999997</v>
      </c>
      <c r="E30" s="106"/>
      <c r="F30" s="107"/>
      <c r="G30" s="107"/>
      <c r="H30" s="107"/>
      <c r="I30" s="107"/>
      <c r="J30" s="107"/>
      <c r="K30" s="107"/>
      <c r="L30" s="106"/>
      <c r="M30" s="106"/>
      <c r="N30" s="106"/>
      <c r="O30" s="107"/>
      <c r="P30" s="106"/>
      <c r="Q30" s="106"/>
      <c r="R30" s="106">
        <f>16000000-SUM(D13:D29)</f>
        <v>3013000.1799999997</v>
      </c>
      <c r="S30" s="108">
        <f>D30/D7</f>
        <v>0.18831251124999998</v>
      </c>
    </row>
    <row r="31" spans="1:19" ht="13.5" thickTop="1" x14ac:dyDescent="0.2">
      <c r="A31" s="116" t="s">
        <v>13</v>
      </c>
      <c r="B31" s="117" t="s">
        <v>154</v>
      </c>
      <c r="C31" s="117" t="s">
        <v>159</v>
      </c>
      <c r="D31" s="126">
        <f t="shared" ref="D31" si="2">SUM(E31:R31)</f>
        <v>3013000.18</v>
      </c>
      <c r="E31" s="118"/>
      <c r="F31" s="118">
        <v>3013000.18</v>
      </c>
      <c r="G31" s="46"/>
      <c r="H31" s="46"/>
      <c r="I31" s="46"/>
      <c r="J31" s="46"/>
      <c r="K31" s="46"/>
      <c r="L31" s="47"/>
      <c r="M31" s="47"/>
      <c r="N31" s="47"/>
      <c r="O31" s="46"/>
      <c r="P31" s="47"/>
      <c r="Q31" s="47"/>
      <c r="R31" s="47"/>
      <c r="S31" s="119">
        <f>D31/$D$9</f>
        <v>2.0636987534246577E-2</v>
      </c>
    </row>
    <row r="32" spans="1:19" x14ac:dyDescent="0.2">
      <c r="A32" s="2"/>
      <c r="B32" s="56"/>
      <c r="C32" s="56"/>
      <c r="E32" s="47"/>
      <c r="F32" s="46"/>
      <c r="G32" s="46"/>
      <c r="H32" s="46"/>
      <c r="I32" s="46"/>
      <c r="J32" s="46"/>
      <c r="K32" s="46"/>
      <c r="L32" s="47"/>
      <c r="M32" s="47"/>
      <c r="N32" s="47"/>
      <c r="O32" s="46"/>
      <c r="P32" s="47"/>
      <c r="Q32" s="47"/>
      <c r="R32" s="47"/>
    </row>
    <row r="33" spans="1:19" x14ac:dyDescent="0.2">
      <c r="A33" s="110" t="s">
        <v>12</v>
      </c>
      <c r="B33" s="110" t="s">
        <v>112</v>
      </c>
      <c r="C33" s="110" t="s">
        <v>160</v>
      </c>
      <c r="D33" s="111">
        <f>SUM(E33:Q33)</f>
        <v>7759999.9999999991</v>
      </c>
      <c r="E33" s="112">
        <v>7759999.9999999991</v>
      </c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8">
        <f>D33/$D$9</f>
        <v>5.3150684931506841E-2</v>
      </c>
    </row>
    <row r="34" spans="1:19" x14ac:dyDescent="0.2">
      <c r="A34" s="110" t="s">
        <v>12</v>
      </c>
      <c r="B34" s="110" t="s">
        <v>112</v>
      </c>
      <c r="C34" s="110" t="s">
        <v>161</v>
      </c>
      <c r="D34" s="111">
        <f>SUM(E34:Q34)</f>
        <v>23550000</v>
      </c>
      <c r="E34" s="112">
        <v>23550000</v>
      </c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8">
        <f>D34/$D$9</f>
        <v>0.16130136986301369</v>
      </c>
    </row>
    <row r="35" spans="1:19" x14ac:dyDescent="0.2">
      <c r="A35" s="110" t="s">
        <v>12</v>
      </c>
      <c r="B35" s="110" t="s">
        <v>112</v>
      </c>
      <c r="C35" s="110" t="s">
        <v>162</v>
      </c>
      <c r="D35" s="111">
        <f>SUM(E35:Q35)</f>
        <v>2982177.899999999</v>
      </c>
      <c r="E35" s="112">
        <v>2982177.899999999</v>
      </c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8">
        <f>D35/$D$9</f>
        <v>2.0425876027397254E-2</v>
      </c>
    </row>
    <row r="36" spans="1:19" x14ac:dyDescent="0.2">
      <c r="A36" s="81"/>
      <c r="B36" s="81"/>
      <c r="C36" s="81"/>
      <c r="D36" s="48"/>
      <c r="E36" s="82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49"/>
    </row>
    <row r="37" spans="1:19" x14ac:dyDescent="0.2">
      <c r="A37" s="56" t="s">
        <v>12</v>
      </c>
      <c r="B37" s="56" t="s">
        <v>120</v>
      </c>
      <c r="C37" s="56" t="s">
        <v>37</v>
      </c>
      <c r="D37" s="35">
        <f>SUM(E37:Q37)</f>
        <v>1664726.6300000001</v>
      </c>
      <c r="E37" s="47">
        <f>1342396.31+322330.32</f>
        <v>1664726.6300000001</v>
      </c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8">
        <f t="shared" ref="S37:S58" si="3">D37/$D$9</f>
        <v>1.1402237191780823E-2</v>
      </c>
    </row>
    <row r="38" spans="1:19" x14ac:dyDescent="0.2">
      <c r="A38" s="56" t="s">
        <v>12</v>
      </c>
      <c r="B38" s="56" t="s">
        <v>201</v>
      </c>
      <c r="C38" s="56" t="s">
        <v>138</v>
      </c>
      <c r="D38" s="35">
        <f t="shared" ref="D38:D57" si="4">SUM(E38:Q38)</f>
        <v>727324.92</v>
      </c>
      <c r="E38" s="47">
        <f>109657.67+617667.25</f>
        <v>727324.92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8">
        <f t="shared" si="3"/>
        <v>4.9816775342465753E-3</v>
      </c>
    </row>
    <row r="39" spans="1:19" hidden="1" x14ac:dyDescent="0.2">
      <c r="A39" s="56" t="s">
        <v>12</v>
      </c>
      <c r="B39" s="56"/>
      <c r="C39" s="56"/>
      <c r="D39" s="35">
        <f t="shared" si="4"/>
        <v>0</v>
      </c>
      <c r="E39" s="47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8">
        <f t="shared" si="3"/>
        <v>0</v>
      </c>
    </row>
    <row r="40" spans="1:19" hidden="1" x14ac:dyDescent="0.2">
      <c r="A40" s="2" t="s">
        <v>13</v>
      </c>
      <c r="B40" s="56" t="s">
        <v>43</v>
      </c>
      <c r="C40" s="2" t="s">
        <v>39</v>
      </c>
      <c r="D40" s="35">
        <f t="shared" si="4"/>
        <v>0</v>
      </c>
      <c r="E40" s="47"/>
      <c r="F40" s="47"/>
      <c r="G40" s="47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8">
        <f t="shared" si="3"/>
        <v>0</v>
      </c>
    </row>
    <row r="41" spans="1:19" hidden="1" x14ac:dyDescent="0.2">
      <c r="A41" s="2" t="s">
        <v>14</v>
      </c>
      <c r="B41" s="56" t="s">
        <v>44</v>
      </c>
      <c r="C41" s="2" t="s">
        <v>39</v>
      </c>
      <c r="D41" s="35">
        <f t="shared" si="4"/>
        <v>0</v>
      </c>
      <c r="E41" s="47"/>
      <c r="F41" s="47"/>
      <c r="G41" s="47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8">
        <f t="shared" si="3"/>
        <v>0</v>
      </c>
    </row>
    <row r="42" spans="1:19" x14ac:dyDescent="0.2">
      <c r="A42" s="2" t="s">
        <v>15</v>
      </c>
      <c r="B42" s="56" t="s">
        <v>57</v>
      </c>
      <c r="C42" s="56" t="s">
        <v>62</v>
      </c>
      <c r="D42" s="35">
        <f t="shared" si="4"/>
        <v>816494.17000000016</v>
      </c>
      <c r="E42" s="47"/>
      <c r="F42" s="47"/>
      <c r="G42" s="46"/>
      <c r="H42" s="47">
        <v>816494.17000000016</v>
      </c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8">
        <f t="shared" si="3"/>
        <v>5.5924258219178097E-3</v>
      </c>
    </row>
    <row r="43" spans="1:19" x14ac:dyDescent="0.2">
      <c r="A43" s="224" t="s">
        <v>15</v>
      </c>
      <c r="B43" s="224" t="s">
        <v>114</v>
      </c>
      <c r="C43" s="224" t="s">
        <v>58</v>
      </c>
      <c r="D43" s="225">
        <f>SUM(E43:Q43)</f>
        <v>2195565.5700000003</v>
      </c>
      <c r="E43" s="47"/>
      <c r="F43" s="47"/>
      <c r="G43" s="46"/>
      <c r="H43" s="47">
        <f>1583184.87+612380.7</f>
        <v>2195565.5700000003</v>
      </c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228">
        <f>D43/$D$9</f>
        <v>1.5038120342465756E-2</v>
      </c>
    </row>
    <row r="44" spans="1:19" x14ac:dyDescent="0.2">
      <c r="A44" s="56" t="s">
        <v>83</v>
      </c>
      <c r="B44" s="56" t="s">
        <v>60</v>
      </c>
      <c r="C44" s="56" t="s">
        <v>84</v>
      </c>
      <c r="D44" s="35">
        <f t="shared" si="4"/>
        <v>2199550.1</v>
      </c>
      <c r="E44" s="47"/>
      <c r="F44" s="47"/>
      <c r="G44" s="46"/>
      <c r="H44" s="47"/>
      <c r="I44" s="47">
        <v>2199550.1</v>
      </c>
      <c r="J44" s="46"/>
      <c r="K44" s="46"/>
      <c r="L44" s="46"/>
      <c r="M44" s="46"/>
      <c r="N44" s="46"/>
      <c r="O44" s="46"/>
      <c r="P44" s="46"/>
      <c r="Q44" s="46"/>
      <c r="R44" s="46"/>
      <c r="S44" s="8">
        <f t="shared" si="3"/>
        <v>1.5065411643835618E-2</v>
      </c>
    </row>
    <row r="45" spans="1:19" x14ac:dyDescent="0.2">
      <c r="A45" s="224" t="s">
        <v>16</v>
      </c>
      <c r="B45" s="224" t="s">
        <v>56</v>
      </c>
      <c r="C45" s="224" t="s">
        <v>64</v>
      </c>
      <c r="D45" s="225">
        <f t="shared" si="4"/>
        <v>1268414.32</v>
      </c>
      <c r="E45" s="47"/>
      <c r="F45" s="47"/>
      <c r="G45" s="46"/>
      <c r="H45" s="47"/>
      <c r="I45" s="47">
        <v>1268414.32</v>
      </c>
      <c r="J45" s="46"/>
      <c r="K45" s="46"/>
      <c r="L45" s="46"/>
      <c r="M45" s="46"/>
      <c r="N45" s="46"/>
      <c r="O45" s="46"/>
      <c r="P45" s="46"/>
      <c r="Q45" s="46"/>
      <c r="R45" s="46"/>
      <c r="S45" s="228">
        <f t="shared" si="3"/>
        <v>8.6877693150684936E-3</v>
      </c>
    </row>
    <row r="46" spans="1:19" hidden="1" x14ac:dyDescent="0.2">
      <c r="A46" s="56" t="s">
        <v>16</v>
      </c>
      <c r="B46" s="56" t="s">
        <v>93</v>
      </c>
      <c r="C46" s="56" t="s">
        <v>94</v>
      </c>
      <c r="D46" s="35">
        <f t="shared" si="4"/>
        <v>0</v>
      </c>
      <c r="E46" s="47"/>
      <c r="F46" s="47"/>
      <c r="G46" s="46"/>
      <c r="H46" s="47"/>
      <c r="I46" s="47"/>
      <c r="J46" s="46"/>
      <c r="K46" s="46"/>
      <c r="L46" s="46"/>
      <c r="M46" s="46"/>
      <c r="N46" s="46"/>
      <c r="O46" s="46"/>
      <c r="P46" s="46"/>
      <c r="Q46" s="46"/>
      <c r="R46" s="46"/>
      <c r="S46" s="8">
        <f t="shared" si="3"/>
        <v>0</v>
      </c>
    </row>
    <row r="47" spans="1:19" x14ac:dyDescent="0.2">
      <c r="A47" s="2" t="s">
        <v>59</v>
      </c>
      <c r="B47" s="56" t="s">
        <v>57</v>
      </c>
      <c r="C47" s="56" t="s">
        <v>63</v>
      </c>
      <c r="D47" s="35">
        <f t="shared" si="4"/>
        <v>2985911.2</v>
      </c>
      <c r="E47" s="47"/>
      <c r="F47" s="47"/>
      <c r="G47" s="46"/>
      <c r="H47" s="47"/>
      <c r="I47" s="46"/>
      <c r="J47" s="47"/>
      <c r="K47" s="47">
        <v>2985911.2</v>
      </c>
      <c r="L47" s="46"/>
      <c r="M47" s="46"/>
      <c r="N47" s="46"/>
      <c r="O47" s="46"/>
      <c r="P47" s="46"/>
      <c r="Q47" s="46"/>
      <c r="R47" s="46"/>
      <c r="S47" s="8">
        <f t="shared" si="3"/>
        <v>2.0451446575342466E-2</v>
      </c>
    </row>
    <row r="48" spans="1:19" x14ac:dyDescent="0.2">
      <c r="A48" s="86" t="s">
        <v>20</v>
      </c>
      <c r="B48" s="81" t="s">
        <v>91</v>
      </c>
      <c r="C48" s="81" t="s">
        <v>92</v>
      </c>
      <c r="D48" s="48">
        <f>SUM(E48:Q48)</f>
        <v>934913.52</v>
      </c>
      <c r="E48" s="82"/>
      <c r="F48" s="83"/>
      <c r="G48" s="83"/>
      <c r="H48" s="83"/>
      <c r="I48" s="83"/>
      <c r="J48" s="83"/>
      <c r="K48" s="83"/>
      <c r="L48" s="82"/>
      <c r="M48" s="82"/>
      <c r="N48" s="82">
        <v>934913.52</v>
      </c>
      <c r="O48" s="83"/>
      <c r="P48" s="83"/>
      <c r="Q48" s="83"/>
      <c r="R48" s="83"/>
      <c r="S48" s="49">
        <f t="shared" si="3"/>
        <v>6.4035172602739726E-3</v>
      </c>
    </row>
    <row r="49" spans="1:19" x14ac:dyDescent="0.2">
      <c r="A49" s="2" t="s">
        <v>12</v>
      </c>
      <c r="B49" s="56" t="s">
        <v>50</v>
      </c>
      <c r="C49" s="2" t="s">
        <v>51</v>
      </c>
      <c r="D49" s="35">
        <f t="shared" si="4"/>
        <v>32646.230000000003</v>
      </c>
      <c r="E49" s="35">
        <v>32646.230000000003</v>
      </c>
      <c r="S49" s="8">
        <f t="shared" si="3"/>
        <v>2.2360431506849318E-4</v>
      </c>
    </row>
    <row r="50" spans="1:19" x14ac:dyDescent="0.2">
      <c r="A50" s="2" t="s">
        <v>12</v>
      </c>
      <c r="B50" s="56" t="s">
        <v>150</v>
      </c>
      <c r="C50" s="2" t="s">
        <v>151</v>
      </c>
      <c r="D50" s="35">
        <f t="shared" si="4"/>
        <v>51833</v>
      </c>
      <c r="E50" s="35">
        <v>51833</v>
      </c>
      <c r="S50" s="8">
        <f t="shared" si="3"/>
        <v>3.5502054794520548E-4</v>
      </c>
    </row>
    <row r="51" spans="1:19" x14ac:dyDescent="0.2">
      <c r="A51" s="56" t="s">
        <v>13</v>
      </c>
      <c r="B51" s="56" t="s">
        <v>52</v>
      </c>
      <c r="C51" s="56" t="s">
        <v>53</v>
      </c>
      <c r="D51" s="35">
        <f t="shared" si="4"/>
        <v>15783.01</v>
      </c>
      <c r="F51" s="35">
        <v>15783.01</v>
      </c>
      <c r="S51" s="8">
        <f t="shared" si="3"/>
        <v>1.0810280821917808E-4</v>
      </c>
    </row>
    <row r="52" spans="1:19" x14ac:dyDescent="0.2">
      <c r="A52" s="56" t="s">
        <v>15</v>
      </c>
      <c r="B52" s="56" t="s">
        <v>146</v>
      </c>
      <c r="C52" s="56" t="s">
        <v>147</v>
      </c>
      <c r="D52" s="35">
        <f t="shared" si="4"/>
        <v>653569.5</v>
      </c>
      <c r="H52" s="35">
        <v>653569.5</v>
      </c>
      <c r="S52" s="8">
        <f t="shared" si="3"/>
        <v>4.4765034246575346E-3</v>
      </c>
    </row>
    <row r="53" spans="1:19" x14ac:dyDescent="0.2">
      <c r="A53" s="56" t="s">
        <v>16</v>
      </c>
      <c r="B53" s="56" t="s">
        <v>45</v>
      </c>
      <c r="C53" s="56" t="s">
        <v>48</v>
      </c>
      <c r="D53" s="35">
        <f t="shared" si="4"/>
        <v>781832.89</v>
      </c>
      <c r="I53" s="35">
        <v>781832.89</v>
      </c>
      <c r="S53" s="8">
        <f t="shared" si="3"/>
        <v>5.3550197945205482E-3</v>
      </c>
    </row>
    <row r="54" spans="1:19" x14ac:dyDescent="0.2">
      <c r="A54" s="2" t="s">
        <v>16</v>
      </c>
      <c r="B54" s="56" t="s">
        <v>61</v>
      </c>
      <c r="C54" s="56" t="s">
        <v>86</v>
      </c>
      <c r="D54" s="35">
        <f t="shared" si="4"/>
        <v>8000357.7300000004</v>
      </c>
      <c r="I54" s="35">
        <v>8000357.7300000004</v>
      </c>
      <c r="S54" s="8">
        <f t="shared" si="3"/>
        <v>5.4796970753424663E-2</v>
      </c>
    </row>
    <row r="55" spans="1:19" x14ac:dyDescent="0.2">
      <c r="A55" s="56" t="s">
        <v>16</v>
      </c>
      <c r="B55" s="56" t="s">
        <v>124</v>
      </c>
      <c r="C55" s="56" t="s">
        <v>67</v>
      </c>
      <c r="D55" s="35">
        <f t="shared" si="4"/>
        <v>7257223.1399999997</v>
      </c>
      <c r="I55" s="35">
        <v>7257223.1399999997</v>
      </c>
      <c r="S55" s="8">
        <f t="shared" si="3"/>
        <v>4.9707007808219177E-2</v>
      </c>
    </row>
    <row r="56" spans="1:19" x14ac:dyDescent="0.2">
      <c r="A56" s="56" t="s">
        <v>20</v>
      </c>
      <c r="B56" s="56" t="s">
        <v>152</v>
      </c>
      <c r="C56" s="56" t="s">
        <v>54</v>
      </c>
      <c r="D56" s="35">
        <f t="shared" si="4"/>
        <v>691563.63</v>
      </c>
      <c r="N56" s="35">
        <f>605765.12+85798.51</f>
        <v>691563.63</v>
      </c>
      <c r="S56" s="8">
        <f t="shared" si="3"/>
        <v>4.7367371917808217E-3</v>
      </c>
    </row>
    <row r="57" spans="1:19" x14ac:dyDescent="0.2">
      <c r="A57" s="2" t="s">
        <v>22</v>
      </c>
      <c r="B57" s="56" t="s">
        <v>149</v>
      </c>
      <c r="C57" t="s">
        <v>68</v>
      </c>
      <c r="D57" s="35">
        <f t="shared" si="4"/>
        <v>22912201.640000001</v>
      </c>
      <c r="P57" s="109">
        <f>1582601.7+20513000+816599.94</f>
        <v>22912201.640000001</v>
      </c>
      <c r="S57" s="8">
        <f t="shared" si="3"/>
        <v>0.15693288794520549</v>
      </c>
    </row>
    <row r="58" spans="1:19" x14ac:dyDescent="0.2">
      <c r="A58" s="226" t="s">
        <v>22</v>
      </c>
      <c r="B58" s="224" t="s">
        <v>148</v>
      </c>
      <c r="C58" s="227" t="s">
        <v>49</v>
      </c>
      <c r="D58" s="35">
        <f>SUM(E58:R58)</f>
        <v>49673550.5</v>
      </c>
      <c r="P58" s="35">
        <f>25041174.5+12614734.63+8337757.69+146855.38+490017.51+3043010.79</f>
        <v>49673550.5</v>
      </c>
      <c r="S58" s="228">
        <f t="shared" si="3"/>
        <v>0.34022979794520547</v>
      </c>
    </row>
    <row r="59" spans="1:19" x14ac:dyDescent="0.2">
      <c r="A59" s="56" t="s">
        <v>22</v>
      </c>
      <c r="B59" s="56" t="s">
        <v>142</v>
      </c>
      <c r="C59" s="56" t="s">
        <v>143</v>
      </c>
      <c r="D59" s="35">
        <f>SUM(E59:R59)</f>
        <v>10150.83</v>
      </c>
      <c r="P59" s="35">
        <v>10150.83</v>
      </c>
      <c r="S59" s="8">
        <f>D59/$D$9</f>
        <v>6.9526232876712324E-5</v>
      </c>
    </row>
    <row r="60" spans="1:19" ht="13.5" thickBot="1" x14ac:dyDescent="0.25">
      <c r="A60" s="75" t="s">
        <v>59</v>
      </c>
      <c r="B60" s="75"/>
      <c r="C60" s="80" t="s">
        <v>128</v>
      </c>
      <c r="D60" s="76">
        <f>SUM(E60:R60)</f>
        <v>5821209.3899999857</v>
      </c>
      <c r="E60" s="77"/>
      <c r="F60" s="78"/>
      <c r="G60" s="78"/>
      <c r="H60" s="78"/>
      <c r="I60" s="78"/>
      <c r="J60" s="78"/>
      <c r="K60" s="78"/>
      <c r="L60" s="77"/>
      <c r="M60" s="77"/>
      <c r="N60" s="77"/>
      <c r="O60" s="78"/>
      <c r="P60" s="77"/>
      <c r="Q60" s="77"/>
      <c r="R60" s="77">
        <f>146000000-SUM(D31:D59)</f>
        <v>5821209.3899999857</v>
      </c>
      <c r="S60" s="129">
        <f>D60/D9</f>
        <v>3.9871297191780723E-2</v>
      </c>
    </row>
    <row r="61" spans="1:19" ht="13.5" thickTop="1" x14ac:dyDescent="0.2">
      <c r="A61" s="2" t="s">
        <v>12</v>
      </c>
      <c r="B61" s="56" t="s">
        <v>125</v>
      </c>
      <c r="C61" s="2" t="s">
        <v>46</v>
      </c>
      <c r="D61" s="35">
        <f>SUM(E61:Q61)</f>
        <v>13265004.609999999</v>
      </c>
      <c r="E61" s="47">
        <f>9312023.08+3952981.53</f>
        <v>13265004.609999999</v>
      </c>
      <c r="F61" s="46"/>
      <c r="G61" s="46"/>
      <c r="H61" s="46"/>
      <c r="I61" s="46"/>
      <c r="J61" s="46"/>
      <c r="K61" s="46"/>
      <c r="L61" s="47"/>
      <c r="M61" s="47"/>
      <c r="N61" s="47"/>
      <c r="O61" s="46"/>
      <c r="P61" s="47"/>
      <c r="Q61" s="47"/>
      <c r="R61" s="47"/>
      <c r="S61" s="8">
        <f>D61/$D$11</f>
        <v>0.165812557625</v>
      </c>
    </row>
    <row r="62" spans="1:19" x14ac:dyDescent="0.2">
      <c r="A62" s="2" t="s">
        <v>12</v>
      </c>
      <c r="B62" s="56" t="s">
        <v>126</v>
      </c>
      <c r="C62" s="2" t="s">
        <v>47</v>
      </c>
      <c r="D62" s="35">
        <f>SUM(E62:Q62)</f>
        <v>66734995.390000001</v>
      </c>
      <c r="E62" s="35">
        <f>20828474.09+43000000+2906521.3</f>
        <v>66734995.390000001</v>
      </c>
      <c r="S62" s="8">
        <f>D62/$D11</f>
        <v>0.83418744237499998</v>
      </c>
    </row>
    <row r="63" spans="1:19" x14ac:dyDescent="0.2"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9"/>
    </row>
    <row r="64" spans="1:19" s="8" customFormat="1" ht="13.5" thickBot="1" x14ac:dyDescent="0.25">
      <c r="B64" s="50"/>
      <c r="C64" s="51" t="s">
        <v>26</v>
      </c>
      <c r="D64" s="52"/>
      <c r="E64" s="53">
        <f>E5/D5</f>
        <v>0.4994728018595041</v>
      </c>
      <c r="F64" s="53">
        <f>F5/D5</f>
        <v>1.7633763016528928E-2</v>
      </c>
      <c r="G64" s="53">
        <f>G5/D5</f>
        <v>0</v>
      </c>
      <c r="H64" s="53">
        <f>H5/D5</f>
        <v>2.1529832520661159E-2</v>
      </c>
      <c r="I64" s="53">
        <f>I5/D5</f>
        <v>8.1081144586776857E-2</v>
      </c>
      <c r="J64" s="53">
        <f>J5/D5</f>
        <v>0</v>
      </c>
      <c r="K64" s="53">
        <f>K5/D5</f>
        <v>1.3702799256198347E-2</v>
      </c>
      <c r="L64" s="53">
        <f>L5/D5</f>
        <v>1.8492865289256198E-3</v>
      </c>
      <c r="M64" s="53">
        <f>M5/D5</f>
        <v>3.1280506198347107E-3</v>
      </c>
      <c r="N64" s="53">
        <f>N5/D5</f>
        <v>7.9703990495867769E-3</v>
      </c>
      <c r="O64" s="53">
        <f>O5/D5</f>
        <v>4.9241038842975215E-3</v>
      </c>
      <c r="P64" s="53">
        <f>P5/D5</f>
        <v>0.31099582276859505</v>
      </c>
      <c r="Q64" s="53">
        <f>Q5/D5</f>
        <v>1.206997685950413E-3</v>
      </c>
      <c r="R64" s="53"/>
      <c r="S64" s="53"/>
    </row>
    <row r="65" spans="1:16" s="8" customFormat="1" ht="13.5" thickTop="1" x14ac:dyDescent="0.2">
      <c r="A65" s="54"/>
      <c r="C65" s="51"/>
    </row>
    <row r="70" spans="1:16" x14ac:dyDescent="0.2">
      <c r="N70" s="233"/>
    </row>
    <row r="73" spans="1:16" x14ac:dyDescent="0.2">
      <c r="A73" s="2"/>
      <c r="B73" s="56"/>
      <c r="C73" s="56"/>
      <c r="P73" s="109"/>
    </row>
  </sheetData>
  <pageMargins left="0" right="0" top="0" bottom="0" header="0.3" footer="0.3"/>
  <pageSetup paperSize="5" scale="7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6cbe70-41d0-4d0d-93d7-b7bb590be226" xsi:nil="true"/>
    <lcf76f155ced4ddcb4097134ff3c332f xmlns="1aab5a46-2bc3-4c92-a271-448cca1da9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AC8AC3-718C-4928-A4BD-625EDDDBAC16}"/>
</file>

<file path=customXml/itemProps2.xml><?xml version="1.0" encoding="utf-8"?>
<ds:datastoreItem xmlns:ds="http://schemas.openxmlformats.org/officeDocument/2006/customXml" ds:itemID="{F60A015F-F234-4431-87C5-EE4882CDF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2D3789-D153-41D8-B287-5FA93BF0847B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dcmitype/"/>
    <ds:schemaRef ds:uri="020e11af-ff91-48f9-98dc-99938241048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2021A Revised </vt:lpstr>
      <vt:lpstr>20-Yrs Acad Revised</vt:lpstr>
      <vt:lpstr>10-Year FR Revised</vt:lpstr>
      <vt:lpstr>Adjustment-42nd Amendment Aux</vt:lpstr>
      <vt:lpstr>Percentage-082621</vt:lpstr>
      <vt:lpstr>Percentage 082621 Revised</vt:lpstr>
      <vt:lpstr>Percentage - 021622</vt:lpstr>
      <vt:lpstr>Percentage 021622 Revised</vt:lpstr>
      <vt:lpstr>Percentage-082222</vt:lpstr>
      <vt:lpstr>Percentage 082222 Revised</vt:lpstr>
      <vt:lpstr>Percentage 021323</vt:lpstr>
      <vt:lpstr>'2021A Revised '!Print_Titles</vt:lpstr>
    </vt:vector>
  </TitlesOfParts>
  <Company>University System of Maryland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Mei-Chin Yang</dc:creator>
  <cp:lastModifiedBy>Cindy Lui</cp:lastModifiedBy>
  <cp:lastPrinted>2024-02-08T20:07:46Z</cp:lastPrinted>
  <dcterms:created xsi:type="dcterms:W3CDTF">2011-02-21T16:49:07Z</dcterms:created>
  <dcterms:modified xsi:type="dcterms:W3CDTF">2025-07-21T03:21:27Z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</Properties>
</file>